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750" activeTab="0"/>
  </bookViews>
  <sheets>
    <sheet name="Growth % segmentwise" sheetId="1" r:id="rId1"/>
    <sheet name="Anne-1 " sheetId="2" r:id="rId2"/>
    <sheet name="Anne-2" sheetId="3" r:id="rId3"/>
    <sheet name="Anne-3" sheetId="4" r:id="rId4"/>
    <sheet name="Sheet1" sheetId="5" r:id="rId5"/>
    <sheet name="Sheet2" sheetId="6" r:id="rId6"/>
    <sheet name="Shee 3  A" sheetId="7" r:id="rId7"/>
  </sheets>
  <definedNames>
    <definedName name="_xlnm.Print_Area" localSheetId="1">'Anne-1 '!$A$1:$X$18</definedName>
    <definedName name="_xlnm.Print_Area" localSheetId="2">'Anne-2'!$A$1:$AE$38</definedName>
    <definedName name="_xlnm.Print_Area" localSheetId="0">'Growth % segmentwise'!$E$1:$U$11</definedName>
    <definedName name="_xlnm.Print_Area" localSheetId="6">'Shee 3  A'!$A$2:$AQ$34</definedName>
    <definedName name="_xlnm.Print_Titles" localSheetId="6">'Shee 3  A'!$A:$B</definedName>
  </definedNames>
  <calcPr fullCalcOnLoad="1"/>
</workbook>
</file>

<file path=xl/sharedStrings.xml><?xml version="1.0" encoding="utf-8"?>
<sst xmlns="http://schemas.openxmlformats.org/spreadsheetml/2006/main" count="532" uniqueCount="167">
  <si>
    <t>Total</t>
  </si>
  <si>
    <t>Andhra Pradesh</t>
  </si>
  <si>
    <t>Assam</t>
  </si>
  <si>
    <t>Bihar</t>
  </si>
  <si>
    <t>Gujarat</t>
  </si>
  <si>
    <t>Haryana</t>
  </si>
  <si>
    <t>H.P.</t>
  </si>
  <si>
    <t>J&amp;K</t>
  </si>
  <si>
    <t>Karnataka</t>
  </si>
  <si>
    <t>Kerala</t>
  </si>
  <si>
    <t>M.P.</t>
  </si>
  <si>
    <t>Maharashtra</t>
  </si>
  <si>
    <t>Orissa</t>
  </si>
  <si>
    <t>Punjab</t>
  </si>
  <si>
    <t>Rajasthan</t>
  </si>
  <si>
    <t>Tamilnadu</t>
  </si>
  <si>
    <t>West Bengal</t>
  </si>
  <si>
    <t>Kolkatta</t>
  </si>
  <si>
    <t>Chennai</t>
  </si>
  <si>
    <t>NLD</t>
  </si>
  <si>
    <t>ILD</t>
  </si>
  <si>
    <t>ISP</t>
  </si>
  <si>
    <t>Bharti Airtel</t>
  </si>
  <si>
    <t>V-SAT</t>
  </si>
  <si>
    <t>BSNL</t>
  </si>
  <si>
    <t>Idea</t>
  </si>
  <si>
    <t>Others</t>
  </si>
  <si>
    <t>Grand Total</t>
  </si>
  <si>
    <t>S. No.</t>
  </si>
  <si>
    <t>Name of Operator</t>
  </si>
  <si>
    <t>Reliance Telecom</t>
  </si>
  <si>
    <t>Vodaphone Essar</t>
  </si>
  <si>
    <t>Tata Indicom</t>
  </si>
  <si>
    <t>Aircel</t>
  </si>
  <si>
    <t>Gross Revenue</t>
  </si>
  <si>
    <t>%age market Share</t>
  </si>
  <si>
    <t>Annexure-1</t>
  </si>
  <si>
    <t>Market Share</t>
  </si>
  <si>
    <t>Circle Weightage</t>
  </si>
  <si>
    <t>Total Revenue</t>
  </si>
  <si>
    <t>Revenue</t>
  </si>
  <si>
    <t>Name of License area</t>
  </si>
  <si>
    <t>All Operators</t>
  </si>
  <si>
    <t>Annexure-2</t>
  </si>
  <si>
    <t>Note:</t>
  </si>
  <si>
    <t>Total East Zone</t>
  </si>
  <si>
    <t>Circle Weightage (All India)</t>
  </si>
  <si>
    <t>Total North Zone</t>
  </si>
  <si>
    <t>Total South Zone</t>
  </si>
  <si>
    <t>Total West Zone</t>
  </si>
  <si>
    <t>Gap (Between Industry growth and BSNL Growth)</t>
  </si>
  <si>
    <t xml:space="preserve">Sl. No. </t>
  </si>
  <si>
    <t>NE</t>
  </si>
  <si>
    <t>U.P. (East)</t>
  </si>
  <si>
    <t>U.P.(West)</t>
  </si>
  <si>
    <t>Other Operation total</t>
  </si>
  <si>
    <t xml:space="preserve">1.  Source of data: TRAI Report </t>
  </si>
  <si>
    <t>2. Revenue from Delhi &amp; Mumbai not included in Total Revenue Figure</t>
  </si>
  <si>
    <t>Zone</t>
  </si>
  <si>
    <t>All figure in %age</t>
  </si>
  <si>
    <t>Weightage</t>
  </si>
  <si>
    <t>Industry</t>
  </si>
  <si>
    <t>Gap</t>
  </si>
  <si>
    <t>South</t>
  </si>
  <si>
    <t>West</t>
  </si>
  <si>
    <t>East</t>
  </si>
  <si>
    <t>North</t>
  </si>
  <si>
    <t>License Area</t>
  </si>
  <si>
    <t>All Operator</t>
  </si>
  <si>
    <t>%age growth against corres-ponding period of previous year</t>
  </si>
  <si>
    <t>Basic</t>
  </si>
  <si>
    <t>Mobile</t>
  </si>
  <si>
    <t>Total (Basic+Mobile)</t>
  </si>
  <si>
    <t>% increase/ decrease</t>
  </si>
  <si>
    <t xml:space="preserve">S. No. </t>
  </si>
  <si>
    <t>Annexure-3</t>
  </si>
  <si>
    <t>April to June 2013</t>
  </si>
  <si>
    <t>Jan. to Mar. 2014</t>
  </si>
  <si>
    <t>North East</t>
  </si>
  <si>
    <t>U.P.(East)</t>
  </si>
  <si>
    <t>U.P. (West)</t>
  </si>
  <si>
    <t>2013-14</t>
  </si>
  <si>
    <t>Annexure-3 (a ) 1/2</t>
  </si>
  <si>
    <t>Annexure-3 (a ) 2/2</t>
  </si>
  <si>
    <t>Name of circle</t>
  </si>
  <si>
    <t>MTNL</t>
  </si>
  <si>
    <t>Reliance</t>
  </si>
  <si>
    <t>Vodafone</t>
  </si>
  <si>
    <t>TATA</t>
  </si>
  <si>
    <t>Aircell</t>
  </si>
  <si>
    <t>Unitech</t>
  </si>
  <si>
    <t xml:space="preserve">Sistema Shyam </t>
  </si>
  <si>
    <t>Sify Technologies</t>
  </si>
  <si>
    <t>Tulip IT Services</t>
  </si>
  <si>
    <t>Loop Mobile</t>
  </si>
  <si>
    <t>Rail Tel</t>
  </si>
  <si>
    <t>Tikona</t>
  </si>
  <si>
    <t>Videocon</t>
  </si>
  <si>
    <t>AT&amp;T</t>
  </si>
  <si>
    <t xml:space="preserve">BT </t>
  </si>
  <si>
    <t xml:space="preserve">Equant Network </t>
  </si>
  <si>
    <t>HCL</t>
  </si>
  <si>
    <t>Quadrant</t>
  </si>
  <si>
    <t xml:space="preserve">Verizon </t>
  </si>
  <si>
    <t xml:space="preserve">Cable &amp; Wireless </t>
  </si>
  <si>
    <t xml:space="preserve">Power Grid </t>
  </si>
  <si>
    <t>Hughes</t>
  </si>
  <si>
    <t>Sing Tel Global</t>
  </si>
  <si>
    <t>Kappa Internet</t>
  </si>
  <si>
    <t>Infotel Satcom</t>
  </si>
  <si>
    <t>Reliance Jio</t>
  </si>
  <si>
    <t>Infotel Telecom</t>
  </si>
  <si>
    <t>Nelco</t>
  </si>
  <si>
    <t>Citycom Networks</t>
  </si>
  <si>
    <t>Essel Shyam</t>
  </si>
  <si>
    <t>Infinium</t>
  </si>
  <si>
    <t>BBNL</t>
  </si>
  <si>
    <t>Telstra</t>
  </si>
  <si>
    <t>Total Priv. Operator</t>
  </si>
  <si>
    <t>M. Share of BSNL</t>
  </si>
  <si>
    <t>Delhi</t>
  </si>
  <si>
    <t>Mumbai</t>
  </si>
  <si>
    <t>G. Total</t>
  </si>
  <si>
    <t>Sub: License area wise %age Gross Revenue Share of BSNL (Gross Revenue in Rs. Crore) for the quarter ending June 2013 of F. Y. 2013-14</t>
  </si>
  <si>
    <t>%age Revenue growth against corresponding period of Previous Year</t>
  </si>
  <si>
    <t>%age Revenue growth against Previous Quarter</t>
  </si>
  <si>
    <t xml:space="preserve">Orrange Busness (Equant Network) </t>
  </si>
  <si>
    <t>Broadband</t>
  </si>
  <si>
    <t>Lease line</t>
  </si>
  <si>
    <t>Otherservices</t>
  </si>
  <si>
    <t>Intrest income</t>
  </si>
  <si>
    <t>Other income</t>
  </si>
  <si>
    <t>Y-O-Y Growth</t>
  </si>
  <si>
    <t>FY 10</t>
  </si>
  <si>
    <t>FY11</t>
  </si>
  <si>
    <t>FY12</t>
  </si>
  <si>
    <t>FY13</t>
  </si>
  <si>
    <t>FY14</t>
  </si>
  <si>
    <t>CAGR</t>
  </si>
  <si>
    <t>Segment wise Income Y-o-Y Growth</t>
  </si>
  <si>
    <t>%age</t>
  </si>
  <si>
    <t>Wireless</t>
  </si>
  <si>
    <t>Fixed line</t>
  </si>
  <si>
    <t>Cable &amp; Wireless /</t>
  </si>
  <si>
    <t>July to Sep. 2013</t>
  </si>
  <si>
    <t>Oct. to Dec. 2013</t>
  </si>
  <si>
    <t>April to June 2014</t>
  </si>
  <si>
    <t>Oct.  to Dec. 2014</t>
  </si>
  <si>
    <t xml:space="preserve">other </t>
  </si>
  <si>
    <t>2014-15</t>
  </si>
  <si>
    <t xml:space="preserve">Growth Rate (Y-oY) for Apr -June </t>
  </si>
  <si>
    <t>April to Mar. 2014</t>
  </si>
  <si>
    <t>Jan. to Mar. 2015</t>
  </si>
  <si>
    <t>April  to Mar. 2015</t>
  </si>
  <si>
    <t>Sub: License area wise %age Gross Revenue Share of BSNL (Gross Revenue in Rs. Crore) for the quarter ending September  2014 of F. Y. 2014-15</t>
  </si>
  <si>
    <t>Conjoinix +Den N/w+Financial Tech+Atria cover.+Nextra+Beam  telecom+tikona</t>
  </si>
  <si>
    <t>Sub: License area wise Gross Revenue  (Rs. in Crore) of BSNL for the year 2014-15 (Q2)  and %age growth against corresponding period of previous year</t>
  </si>
  <si>
    <t xml:space="preserve">Sub: Quarterly Operator wise %age Revenue Share (Gross Revenue in Rs. Crores) for the year 2014-15 (from 01.07.2014 to 30.09.2014)                              </t>
  </si>
  <si>
    <t xml:space="preserve">July to Sept.  </t>
  </si>
  <si>
    <t>July to Sep 2014</t>
  </si>
  <si>
    <t>Source of data: TRAI Report of Sep-2014</t>
  </si>
  <si>
    <t xml:space="preserve">Total </t>
  </si>
  <si>
    <t>All oprator</t>
  </si>
  <si>
    <t>Total.Other operation.</t>
  </si>
  <si>
    <t>From 01.04.2014 to 30.09.2014</t>
  </si>
  <si>
    <t>Sub: License area wise Gross Revenue  (Rs. in Crore) of BSNL from Basic &amp; Mobile Segment in the year 2014-15 (April  -September.)  and %age growth against corresponding period of previous year</t>
  </si>
  <si>
    <t>From 01.04.2013 to 30.09.2013</t>
  </si>
</sst>
</file>

<file path=xl/styles.xml><?xml version="1.0" encoding="utf-8"?>
<styleSheet xmlns="http://schemas.openxmlformats.org/spreadsheetml/2006/main">
  <numFmts count="4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.0"/>
    <numFmt numFmtId="187" formatCode="0.0"/>
    <numFmt numFmtId="188" formatCode="0.000"/>
    <numFmt numFmtId="189" formatCode="0.000000"/>
    <numFmt numFmtId="190" formatCode="0.0000000"/>
    <numFmt numFmtId="191" formatCode="0.00000000"/>
    <numFmt numFmtId="192" formatCode="0.00000"/>
    <numFmt numFmtId="193" formatCode="0.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4009]dd\ mmmm\ yyyy"/>
    <numFmt numFmtId="199" formatCode="#\ ???/???"/>
    <numFmt numFmtId="200" formatCode="0.0%"/>
    <numFmt numFmtId="201" formatCode="#,##0.000"/>
    <numFmt numFmtId="202" formatCode="#,##0.0000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.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AB2E2"/>
        <bgColor indexed="64"/>
      </patternFill>
    </fill>
    <fill>
      <patternFill patternType="solid">
        <fgColor theme="3" tint="0.5999900102615356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81">
    <xf numFmtId="0" fontId="0" fillId="0" borderId="0" xfId="0" applyAlignment="1">
      <alignment/>
    </xf>
    <xf numFmtId="0" fontId="4" fillId="0" borderId="10" xfId="15" applyFont="1" applyBorder="1" applyAlignment="1">
      <alignment horizontal="center" vertical="center" wrapText="1"/>
      <protection/>
    </xf>
    <xf numFmtId="0" fontId="4" fillId="33" borderId="10" xfId="15" applyFont="1" applyFill="1" applyBorder="1" applyAlignment="1">
      <alignment vertical="center" wrapText="1"/>
      <protection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1" xfId="15" applyFont="1" applyBorder="1" applyAlignment="1">
      <alignment horizontal="center" vertical="center"/>
      <protection/>
    </xf>
    <xf numFmtId="0" fontId="6" fillId="0" borderId="12" xfId="15" applyFont="1" applyBorder="1" applyAlignment="1">
      <alignment vertical="center"/>
      <protection/>
    </xf>
    <xf numFmtId="4" fontId="6" fillId="0" borderId="13" xfId="15" applyNumberFormat="1" applyFont="1" applyBorder="1" applyAlignment="1">
      <alignment horizontal="center" vertical="center"/>
      <protection/>
    </xf>
    <xf numFmtId="4" fontId="5" fillId="0" borderId="14" xfId="15" applyNumberFormat="1" applyFont="1" applyBorder="1" applyAlignment="1">
      <alignment horizontal="center" vertical="center"/>
      <protection/>
    </xf>
    <xf numFmtId="0" fontId="6" fillId="0" borderId="15" xfId="15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169" fontId="0" fillId="0" borderId="0" xfId="0" applyNumberFormat="1" applyAlignment="1">
      <alignment horizontal="center" vertical="top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9" fontId="0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2" fontId="4" fillId="0" borderId="0" xfId="0" applyNumberFormat="1" applyFont="1" applyAlignment="1">
      <alignment/>
    </xf>
    <xf numFmtId="0" fontId="8" fillId="0" borderId="0" xfId="0" applyFont="1" applyAlignment="1">
      <alignment/>
    </xf>
    <xf numFmtId="3" fontId="5" fillId="0" borderId="12" xfId="15" applyNumberFormat="1" applyFont="1" applyBorder="1" applyAlignment="1">
      <alignment horizontal="center" vertical="center"/>
      <protection/>
    </xf>
    <xf numFmtId="3" fontId="6" fillId="0" borderId="11" xfId="15" applyNumberFormat="1" applyFont="1" applyBorder="1" applyAlignment="1">
      <alignment horizontal="center" vertical="center"/>
      <protection/>
    </xf>
    <xf numFmtId="4" fontId="6" fillId="0" borderId="16" xfId="15" applyNumberFormat="1" applyFont="1" applyBorder="1" applyAlignment="1">
      <alignment horizontal="center" vertical="center"/>
      <protection/>
    </xf>
    <xf numFmtId="3" fontId="6" fillId="0" borderId="15" xfId="15" applyNumberFormat="1" applyFont="1" applyBorder="1" applyAlignment="1">
      <alignment horizontal="center" vertical="center"/>
      <protection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15" applyFont="1" applyFill="1" applyBorder="1" applyAlignment="1">
      <alignment vertical="center"/>
      <protection/>
    </xf>
    <xf numFmtId="0" fontId="6" fillId="0" borderId="16" xfId="15" applyFont="1" applyBorder="1" applyAlignment="1">
      <alignment vertical="center"/>
      <protection/>
    </xf>
    <xf numFmtId="0" fontId="6" fillId="0" borderId="13" xfId="15" applyFont="1" applyBorder="1" applyAlignment="1">
      <alignment vertical="center"/>
      <protection/>
    </xf>
    <xf numFmtId="0" fontId="5" fillId="0" borderId="14" xfId="15" applyFont="1" applyBorder="1" applyAlignment="1">
      <alignment vertical="center"/>
      <protection/>
    </xf>
    <xf numFmtId="4" fontId="6" fillId="0" borderId="15" xfId="15" applyNumberFormat="1" applyFont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 wrapText="1"/>
      <protection/>
    </xf>
    <xf numFmtId="0" fontId="5" fillId="34" borderId="18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4" borderId="14" xfId="15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4" fillId="0" borderId="11" xfId="15" applyFont="1" applyBorder="1" applyAlignment="1">
      <alignment horizontal="center" vertical="center" wrapText="1"/>
      <protection/>
    </xf>
    <xf numFmtId="0" fontId="4" fillId="33" borderId="13" xfId="15" applyFont="1" applyFill="1" applyBorder="1" applyAlignment="1">
      <alignment vertical="center" wrapText="1"/>
      <protection/>
    </xf>
    <xf numFmtId="187" fontId="4" fillId="0" borderId="19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87" fontId="4" fillId="0" borderId="11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21" xfId="15" applyFont="1" applyBorder="1" applyAlignment="1">
      <alignment horizontal="center" vertical="center" wrapText="1"/>
      <protection/>
    </xf>
    <xf numFmtId="187" fontId="4" fillId="0" borderId="21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0" fontId="4" fillId="0" borderId="25" xfId="15" applyFont="1" applyBorder="1" applyAlignment="1">
      <alignment horizontal="center" vertical="center" wrapText="1"/>
      <protection/>
    </xf>
    <xf numFmtId="2" fontId="4" fillId="0" borderId="26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2" fontId="4" fillId="0" borderId="27" xfId="0" applyNumberFormat="1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0" xfId="15" applyFont="1" applyFill="1" applyBorder="1" applyAlignment="1">
      <alignment vertical="center"/>
      <protection/>
    </xf>
    <xf numFmtId="0" fontId="3" fillId="0" borderId="0" xfId="0" applyFont="1" applyAlignment="1">
      <alignment/>
    </xf>
    <xf numFmtId="17" fontId="3" fillId="35" borderId="29" xfId="0" applyNumberFormat="1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0" xfId="15" applyFont="1" applyFill="1" applyBorder="1" applyAlignment="1">
      <alignment horizontal="center" vertical="center" wrapText="1"/>
      <protection/>
    </xf>
    <xf numFmtId="0" fontId="3" fillId="35" borderId="31" xfId="15" applyFont="1" applyFill="1" applyBorder="1" applyAlignment="1">
      <alignment vertical="center" wrapText="1"/>
      <protection/>
    </xf>
    <xf numFmtId="187" fontId="3" fillId="35" borderId="32" xfId="0" applyNumberFormat="1" applyFont="1" applyFill="1" applyBorder="1" applyAlignment="1">
      <alignment horizontal="center"/>
    </xf>
    <xf numFmtId="3" fontId="3" fillId="35" borderId="33" xfId="0" applyNumberFormat="1" applyFont="1" applyFill="1" applyBorder="1" applyAlignment="1">
      <alignment horizontal="center"/>
    </xf>
    <xf numFmtId="2" fontId="3" fillId="35" borderId="33" xfId="0" applyNumberFormat="1" applyFont="1" applyFill="1" applyBorder="1" applyAlignment="1">
      <alignment/>
    </xf>
    <xf numFmtId="2" fontId="3" fillId="36" borderId="27" xfId="0" applyNumberFormat="1" applyFont="1" applyFill="1" applyBorder="1" applyAlignment="1">
      <alignment horizontal="center"/>
    </xf>
    <xf numFmtId="187" fontId="3" fillId="36" borderId="29" xfId="0" applyNumberFormat="1" applyFont="1" applyFill="1" applyBorder="1" applyAlignment="1">
      <alignment horizontal="center"/>
    </xf>
    <xf numFmtId="3" fontId="3" fillId="36" borderId="29" xfId="0" applyNumberFormat="1" applyFont="1" applyFill="1" applyBorder="1" applyAlignment="1">
      <alignment horizontal="center"/>
    </xf>
    <xf numFmtId="2" fontId="3" fillId="36" borderId="14" xfId="0" applyNumberFormat="1" applyFont="1" applyFill="1" applyBorder="1" applyAlignment="1">
      <alignment horizontal="center"/>
    </xf>
    <xf numFmtId="2" fontId="3" fillId="36" borderId="12" xfId="0" applyNumberFormat="1" applyFont="1" applyFill="1" applyBorder="1" applyAlignment="1">
      <alignment horizontal="center"/>
    </xf>
    <xf numFmtId="2" fontId="3" fillId="36" borderId="29" xfId="0" applyNumberFormat="1" applyFont="1" applyFill="1" applyBorder="1" applyAlignment="1">
      <alignment horizontal="center"/>
    </xf>
    <xf numFmtId="2" fontId="3" fillId="36" borderId="18" xfId="0" applyNumberFormat="1" applyFont="1" applyFill="1" applyBorder="1" applyAlignment="1">
      <alignment horizontal="center"/>
    </xf>
    <xf numFmtId="2" fontId="3" fillId="36" borderId="28" xfId="0" applyNumberFormat="1" applyFont="1" applyFill="1" applyBorder="1" applyAlignment="1">
      <alignment horizontal="center"/>
    </xf>
    <xf numFmtId="187" fontId="3" fillId="36" borderId="26" xfId="0" applyNumberFormat="1" applyFont="1" applyFill="1" applyBorder="1" applyAlignment="1">
      <alignment horizontal="center"/>
    </xf>
    <xf numFmtId="0" fontId="3" fillId="36" borderId="26" xfId="0" applyFont="1" applyFill="1" applyBorder="1" applyAlignment="1">
      <alignment/>
    </xf>
    <xf numFmtId="3" fontId="3" fillId="36" borderId="26" xfId="0" applyNumberFormat="1" applyFont="1" applyFill="1" applyBorder="1" applyAlignment="1">
      <alignment horizontal="center"/>
    </xf>
    <xf numFmtId="0" fontId="3" fillId="35" borderId="34" xfId="0" applyFont="1" applyFill="1" applyBorder="1" applyAlignment="1">
      <alignment/>
    </xf>
    <xf numFmtId="2" fontId="3" fillId="35" borderId="34" xfId="0" applyNumberFormat="1" applyFont="1" applyFill="1" applyBorder="1" applyAlignment="1">
      <alignment/>
    </xf>
    <xf numFmtId="3" fontId="3" fillId="35" borderId="34" xfId="0" applyNumberFormat="1" applyFont="1" applyFill="1" applyBorder="1" applyAlignment="1">
      <alignment horizontal="center"/>
    </xf>
    <xf numFmtId="2" fontId="3" fillId="35" borderId="35" xfId="0" applyNumberFormat="1" applyFont="1" applyFill="1" applyBorder="1" applyAlignment="1">
      <alignment horizontal="center"/>
    </xf>
    <xf numFmtId="2" fontId="3" fillId="35" borderId="36" xfId="0" applyNumberFormat="1" applyFont="1" applyFill="1" applyBorder="1" applyAlignment="1">
      <alignment horizontal="center"/>
    </xf>
    <xf numFmtId="2" fontId="3" fillId="35" borderId="34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2" fontId="4" fillId="35" borderId="37" xfId="0" applyNumberFormat="1" applyFont="1" applyFill="1" applyBorder="1" applyAlignment="1">
      <alignment horizontal="center"/>
    </xf>
    <xf numFmtId="2" fontId="4" fillId="35" borderId="38" xfId="0" applyNumberFormat="1" applyFont="1" applyFill="1" applyBorder="1" applyAlignment="1">
      <alignment horizontal="center"/>
    </xf>
    <xf numFmtId="0" fontId="4" fillId="0" borderId="39" xfId="15" applyFont="1" applyBorder="1" applyAlignment="1">
      <alignment horizontal="center" vertical="center" wrapText="1"/>
      <protection/>
    </xf>
    <xf numFmtId="0" fontId="4" fillId="33" borderId="39" xfId="15" applyFont="1" applyFill="1" applyBorder="1" applyAlignment="1">
      <alignment vertical="center" wrapText="1"/>
      <protection/>
    </xf>
    <xf numFmtId="187" fontId="4" fillId="0" borderId="40" xfId="0" applyNumberFormat="1" applyFont="1" applyBorder="1" applyAlignment="1">
      <alignment horizontal="center"/>
    </xf>
    <xf numFmtId="0" fontId="4" fillId="0" borderId="39" xfId="0" applyFont="1" applyBorder="1" applyAlignment="1">
      <alignment/>
    </xf>
    <xf numFmtId="3" fontId="4" fillId="0" borderId="39" xfId="0" applyNumberFormat="1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187" fontId="4" fillId="0" borderId="15" xfId="0" applyNumberFormat="1" applyFont="1" applyBorder="1" applyAlignment="1">
      <alignment horizontal="center"/>
    </xf>
    <xf numFmtId="2" fontId="4" fillId="0" borderId="41" xfId="0" applyNumberFormat="1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2" fontId="4" fillId="0" borderId="39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0" fontId="4" fillId="33" borderId="22" xfId="15" applyFont="1" applyFill="1" applyBorder="1" applyAlignment="1">
      <alignment vertical="center" wrapText="1"/>
      <protection/>
    </xf>
    <xf numFmtId="2" fontId="4" fillId="0" borderId="21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0" fontId="4" fillId="0" borderId="12" xfId="15" applyFont="1" applyBorder="1" applyAlignment="1">
      <alignment horizontal="center" vertical="center" wrapText="1"/>
      <protection/>
    </xf>
    <xf numFmtId="0" fontId="4" fillId="33" borderId="29" xfId="15" applyFont="1" applyFill="1" applyBorder="1" applyAlignment="1">
      <alignment vertical="center" wrapText="1"/>
      <protection/>
    </xf>
    <xf numFmtId="3" fontId="4" fillId="0" borderId="29" xfId="0" applyNumberFormat="1" applyFont="1" applyBorder="1" applyAlignment="1">
      <alignment horizontal="center"/>
    </xf>
    <xf numFmtId="187" fontId="4" fillId="0" borderId="12" xfId="0" applyNumberFormat="1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4" fillId="0" borderId="29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7" fontId="5" fillId="34" borderId="23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3" fontId="6" fillId="0" borderId="15" xfId="15" applyNumberFormat="1" applyFont="1" applyFill="1" applyBorder="1" applyAlignment="1">
      <alignment horizontal="center" vertical="center"/>
      <protection/>
    </xf>
    <xf numFmtId="4" fontId="6" fillId="0" borderId="16" xfId="15" applyNumberFormat="1" applyFont="1" applyFill="1" applyBorder="1" applyAlignment="1">
      <alignment horizontal="center" vertical="center"/>
      <protection/>
    </xf>
    <xf numFmtId="3" fontId="6" fillId="0" borderId="11" xfId="15" applyNumberFormat="1" applyFont="1" applyFill="1" applyBorder="1" applyAlignment="1">
      <alignment horizontal="center" vertical="center"/>
      <protection/>
    </xf>
    <xf numFmtId="4" fontId="6" fillId="0" borderId="13" xfId="15" applyNumberFormat="1" applyFont="1" applyFill="1" applyBorder="1" applyAlignment="1">
      <alignment horizontal="center" vertical="center"/>
      <protection/>
    </xf>
    <xf numFmtId="3" fontId="5" fillId="0" borderId="12" xfId="15" applyNumberFormat="1" applyFont="1" applyFill="1" applyBorder="1" applyAlignment="1">
      <alignment horizontal="center" vertical="center"/>
      <protection/>
    </xf>
    <xf numFmtId="4" fontId="5" fillId="0" borderId="14" xfId="15" applyNumberFormat="1" applyFont="1" applyFill="1" applyBorder="1" applyAlignment="1">
      <alignment horizontal="center" vertical="center"/>
      <protection/>
    </xf>
    <xf numFmtId="0" fontId="3" fillId="35" borderId="10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187" fontId="4" fillId="0" borderId="10" xfId="0" applyNumberFormat="1" applyFont="1" applyBorder="1" applyAlignment="1">
      <alignment horizontal="center"/>
    </xf>
    <xf numFmtId="0" fontId="4" fillId="33" borderId="10" xfId="15" applyFont="1" applyFill="1" applyBorder="1" applyAlignment="1">
      <alignment horizontal="left" vertical="center" wrapText="1"/>
      <protection/>
    </xf>
    <xf numFmtId="187" fontId="4" fillId="0" borderId="3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187" fontId="4" fillId="0" borderId="0" xfId="0" applyNumberFormat="1" applyFont="1" applyBorder="1" applyAlignment="1">
      <alignment horizontal="center"/>
    </xf>
    <xf numFmtId="187" fontId="4" fillId="0" borderId="0" xfId="0" applyNumberFormat="1" applyFont="1" applyAlignment="1">
      <alignment/>
    </xf>
    <xf numFmtId="3" fontId="6" fillId="0" borderId="40" xfId="15" applyNumberFormat="1" applyFont="1" applyFill="1" applyBorder="1" applyAlignment="1">
      <alignment horizontal="center" vertical="center"/>
      <protection/>
    </xf>
    <xf numFmtId="4" fontId="6" fillId="0" borderId="41" xfId="15" applyNumberFormat="1" applyFont="1" applyFill="1" applyBorder="1" applyAlignment="1">
      <alignment horizontal="center" vertical="center"/>
      <protection/>
    </xf>
    <xf numFmtId="4" fontId="6" fillId="0" borderId="20" xfId="15" applyNumberFormat="1" applyFont="1" applyFill="1" applyBorder="1" applyAlignment="1">
      <alignment horizontal="center" vertical="center"/>
      <protection/>
    </xf>
    <xf numFmtId="0" fontId="3" fillId="35" borderId="29" xfId="0" applyFont="1" applyFill="1" applyBorder="1" applyAlignment="1">
      <alignment vertical="center" wrapText="1"/>
    </xf>
    <xf numFmtId="0" fontId="3" fillId="35" borderId="42" xfId="15" applyFont="1" applyFill="1" applyBorder="1" applyAlignment="1">
      <alignment horizontal="center" vertical="center" wrapText="1"/>
      <protection/>
    </xf>
    <xf numFmtId="3" fontId="6" fillId="0" borderId="21" xfId="15" applyNumberFormat="1" applyFont="1" applyFill="1" applyBorder="1" applyAlignment="1">
      <alignment horizontal="center" vertical="center"/>
      <protection/>
    </xf>
    <xf numFmtId="3" fontId="5" fillId="0" borderId="17" xfId="15" applyNumberFormat="1" applyFont="1" applyBorder="1" applyAlignment="1">
      <alignment horizontal="center" vertical="center"/>
      <protection/>
    </xf>
    <xf numFmtId="0" fontId="0" fillId="0" borderId="0" xfId="0" applyFont="1" applyAlignment="1" quotePrefix="1">
      <alignment/>
    </xf>
    <xf numFmtId="17" fontId="3" fillId="35" borderId="12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1" fontId="3" fillId="36" borderId="12" xfId="0" applyNumberFormat="1" applyFont="1" applyFill="1" applyBorder="1" applyAlignment="1">
      <alignment horizontal="center"/>
    </xf>
    <xf numFmtId="1" fontId="3" fillId="36" borderId="29" xfId="0" applyNumberFormat="1" applyFont="1" applyFill="1" applyBorder="1" applyAlignment="1">
      <alignment horizontal="center"/>
    </xf>
    <xf numFmtId="4" fontId="3" fillId="36" borderId="14" xfId="0" applyNumberFormat="1" applyFont="1" applyFill="1" applyBorder="1" applyAlignment="1">
      <alignment horizontal="center"/>
    </xf>
    <xf numFmtId="3" fontId="3" fillId="36" borderId="12" xfId="0" applyNumberFormat="1" applyFont="1" applyFill="1" applyBorder="1" applyAlignment="1">
      <alignment horizontal="center"/>
    </xf>
    <xf numFmtId="1" fontId="3" fillId="35" borderId="42" xfId="0" applyNumberFormat="1" applyFont="1" applyFill="1" applyBorder="1" applyAlignment="1">
      <alignment horizontal="center" vertical="center"/>
    </xf>
    <xf numFmtId="1" fontId="3" fillId="35" borderId="34" xfId="0" applyNumberFormat="1" applyFont="1" applyFill="1" applyBorder="1" applyAlignment="1">
      <alignment horizontal="center" vertical="center"/>
    </xf>
    <xf numFmtId="3" fontId="3" fillId="35" borderId="42" xfId="0" applyNumberFormat="1" applyFont="1" applyFill="1" applyBorder="1" applyAlignment="1">
      <alignment horizontal="center"/>
    </xf>
    <xf numFmtId="4" fontId="3" fillId="35" borderId="35" xfId="0" applyNumberFormat="1" applyFont="1" applyFill="1" applyBorder="1" applyAlignment="1">
      <alignment horizontal="center"/>
    </xf>
    <xf numFmtId="1" fontId="3" fillId="35" borderId="42" xfId="0" applyNumberFormat="1" applyFont="1" applyFill="1" applyBorder="1" applyAlignment="1">
      <alignment horizontal="center"/>
    </xf>
    <xf numFmtId="1" fontId="3" fillId="35" borderId="34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187" fontId="4" fillId="0" borderId="0" xfId="0" applyNumberFormat="1" applyFont="1" applyAlignment="1">
      <alignment horizontal="center"/>
    </xf>
    <xf numFmtId="0" fontId="3" fillId="35" borderId="34" xfId="15" applyFont="1" applyFill="1" applyBorder="1" applyAlignment="1">
      <alignment horizontal="center" vertical="center" wrapText="1"/>
      <protection/>
    </xf>
    <xf numFmtId="0" fontId="3" fillId="36" borderId="26" xfId="15" applyFont="1" applyFill="1" applyBorder="1" applyAlignment="1">
      <alignment horizontal="center" vertical="center" wrapText="1"/>
      <protection/>
    </xf>
    <xf numFmtId="0" fontId="4" fillId="33" borderId="20" xfId="15" applyFont="1" applyFill="1" applyBorder="1" applyAlignment="1">
      <alignment vertical="center" wrapText="1"/>
      <protection/>
    </xf>
    <xf numFmtId="0" fontId="4" fillId="0" borderId="20" xfId="15" applyFont="1" applyFill="1" applyBorder="1" applyAlignment="1">
      <alignment vertical="center" wrapText="1"/>
      <protection/>
    </xf>
    <xf numFmtId="0" fontId="4" fillId="33" borderId="24" xfId="15" applyFont="1" applyFill="1" applyBorder="1" applyAlignment="1">
      <alignment vertical="center" wrapText="1"/>
      <protection/>
    </xf>
    <xf numFmtId="0" fontId="4" fillId="33" borderId="41" xfId="15" applyFont="1" applyFill="1" applyBorder="1" applyAlignment="1">
      <alignment vertical="center" wrapText="1"/>
      <protection/>
    </xf>
    <xf numFmtId="0" fontId="4" fillId="0" borderId="24" xfId="15" applyFont="1" applyFill="1" applyBorder="1" applyAlignment="1">
      <alignment vertical="center" wrapText="1"/>
      <protection/>
    </xf>
    <xf numFmtId="0" fontId="4" fillId="33" borderId="28" xfId="15" applyFont="1" applyFill="1" applyBorder="1" applyAlignment="1">
      <alignment vertical="center" wrapText="1"/>
      <protection/>
    </xf>
    <xf numFmtId="0" fontId="3" fillId="35" borderId="36" xfId="15" applyFont="1" applyFill="1" applyBorder="1" applyAlignment="1">
      <alignment vertical="center" wrapText="1"/>
      <protection/>
    </xf>
    <xf numFmtId="1" fontId="3" fillId="36" borderId="17" xfId="0" applyNumberFormat="1" applyFont="1" applyFill="1" applyBorder="1" applyAlignment="1">
      <alignment horizontal="center"/>
    </xf>
    <xf numFmtId="1" fontId="3" fillId="35" borderId="43" xfId="0" applyNumberFormat="1" applyFont="1" applyFill="1" applyBorder="1" applyAlignment="1">
      <alignment horizontal="center" vertical="center"/>
    </xf>
    <xf numFmtId="17" fontId="3" fillId="35" borderId="17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/>
    </xf>
    <xf numFmtId="4" fontId="4" fillId="0" borderId="20" xfId="0" applyNumberFormat="1" applyFont="1" applyFill="1" applyBorder="1" applyAlignment="1">
      <alignment horizontal="center"/>
    </xf>
    <xf numFmtId="4" fontId="3" fillId="36" borderId="18" xfId="0" applyNumberFormat="1" applyFont="1" applyFill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4" fontId="3" fillId="35" borderId="36" xfId="0" applyNumberFormat="1" applyFont="1" applyFill="1" applyBorder="1" applyAlignment="1">
      <alignment horizontal="center" vertical="center"/>
    </xf>
    <xf numFmtId="3" fontId="3" fillId="36" borderId="17" xfId="0" applyNumberFormat="1" applyFont="1" applyFill="1" applyBorder="1" applyAlignment="1">
      <alignment horizontal="center"/>
    </xf>
    <xf numFmtId="3" fontId="3" fillId="35" borderId="43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1" fontId="3" fillId="36" borderId="44" xfId="0" applyNumberFormat="1" applyFont="1" applyFill="1" applyBorder="1" applyAlignment="1">
      <alignment horizontal="center"/>
    </xf>
    <xf numFmtId="1" fontId="3" fillId="35" borderId="45" xfId="0" applyNumberFormat="1" applyFont="1" applyFill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/>
    </xf>
    <xf numFmtId="3" fontId="3" fillId="36" borderId="46" xfId="0" applyNumberFormat="1" applyFont="1" applyFill="1" applyBorder="1" applyAlignment="1">
      <alignment horizontal="center"/>
    </xf>
    <xf numFmtId="3" fontId="3" fillId="35" borderId="47" xfId="0" applyNumberFormat="1" applyFont="1" applyFill="1" applyBorder="1" applyAlignment="1">
      <alignment horizontal="center"/>
    </xf>
    <xf numFmtId="4" fontId="4" fillId="37" borderId="13" xfId="0" applyNumberFormat="1" applyFont="1" applyFill="1" applyBorder="1" applyAlignment="1">
      <alignment horizontal="center"/>
    </xf>
    <xf numFmtId="4" fontId="4" fillId="37" borderId="23" xfId="0" applyNumberFormat="1" applyFont="1" applyFill="1" applyBorder="1" applyAlignment="1">
      <alignment horizontal="center"/>
    </xf>
    <xf numFmtId="2" fontId="4" fillId="38" borderId="10" xfId="0" applyNumberFormat="1" applyFont="1" applyFill="1" applyBorder="1" applyAlignment="1">
      <alignment horizontal="center"/>
    </xf>
    <xf numFmtId="2" fontId="4" fillId="38" borderId="22" xfId="0" applyNumberFormat="1" applyFont="1" applyFill="1" applyBorder="1" applyAlignment="1">
      <alignment horizontal="center"/>
    </xf>
    <xf numFmtId="0" fontId="4" fillId="38" borderId="22" xfId="0" applyFont="1" applyFill="1" applyBorder="1" applyAlignment="1">
      <alignment horizontal="center"/>
    </xf>
    <xf numFmtId="0" fontId="4" fillId="38" borderId="29" xfId="0" applyFont="1" applyFill="1" applyBorder="1" applyAlignment="1">
      <alignment horizontal="center"/>
    </xf>
    <xf numFmtId="3" fontId="4" fillId="38" borderId="10" xfId="0" applyNumberFormat="1" applyFont="1" applyFill="1" applyBorder="1" applyAlignment="1">
      <alignment horizontal="center"/>
    </xf>
    <xf numFmtId="3" fontId="4" fillId="38" borderId="22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1" fontId="4" fillId="38" borderId="48" xfId="0" applyNumberFormat="1" applyFont="1" applyFill="1" applyBorder="1" applyAlignment="1">
      <alignment horizontal="center"/>
    </xf>
    <xf numFmtId="1" fontId="4" fillId="38" borderId="49" xfId="0" applyNumberFormat="1" applyFont="1" applyFill="1" applyBorder="1" applyAlignment="1">
      <alignment horizontal="center"/>
    </xf>
    <xf numFmtId="1" fontId="4" fillId="38" borderId="50" xfId="0" applyNumberFormat="1" applyFont="1" applyFill="1" applyBorder="1" applyAlignment="1">
      <alignment horizontal="center"/>
    </xf>
    <xf numFmtId="1" fontId="4" fillId="38" borderId="51" xfId="0" applyNumberFormat="1" applyFont="1" applyFill="1" applyBorder="1" applyAlignment="1">
      <alignment horizontal="center"/>
    </xf>
    <xf numFmtId="1" fontId="4" fillId="38" borderId="52" xfId="0" applyNumberFormat="1" applyFont="1" applyFill="1" applyBorder="1" applyAlignment="1">
      <alignment horizontal="center"/>
    </xf>
    <xf numFmtId="1" fontId="4" fillId="38" borderId="53" xfId="0" applyNumberFormat="1" applyFont="1" applyFill="1" applyBorder="1" applyAlignment="1">
      <alignment horizontal="center"/>
    </xf>
    <xf numFmtId="3" fontId="4" fillId="38" borderId="48" xfId="0" applyNumberFormat="1" applyFont="1" applyFill="1" applyBorder="1" applyAlignment="1">
      <alignment horizontal="center"/>
    </xf>
    <xf numFmtId="3" fontId="4" fillId="38" borderId="49" xfId="0" applyNumberFormat="1" applyFont="1" applyFill="1" applyBorder="1" applyAlignment="1">
      <alignment horizontal="center"/>
    </xf>
    <xf numFmtId="3" fontId="4" fillId="38" borderId="50" xfId="0" applyNumberFormat="1" applyFont="1" applyFill="1" applyBorder="1" applyAlignment="1">
      <alignment horizontal="center"/>
    </xf>
    <xf numFmtId="3" fontId="4" fillId="38" borderId="51" xfId="0" applyNumberFormat="1" applyFont="1" applyFill="1" applyBorder="1" applyAlignment="1">
      <alignment horizontal="center"/>
    </xf>
    <xf numFmtId="3" fontId="4" fillId="38" borderId="52" xfId="0" applyNumberFormat="1" applyFont="1" applyFill="1" applyBorder="1" applyAlignment="1">
      <alignment horizontal="center"/>
    </xf>
    <xf numFmtId="3" fontId="4" fillId="38" borderId="53" xfId="0" applyNumberFormat="1" applyFont="1" applyFill="1" applyBorder="1" applyAlignment="1">
      <alignment horizontal="center"/>
    </xf>
    <xf numFmtId="1" fontId="4" fillId="0" borderId="54" xfId="0" applyNumberFormat="1" applyFont="1" applyFill="1" applyBorder="1" applyAlignment="1">
      <alignment horizontal="center"/>
    </xf>
    <xf numFmtId="1" fontId="4" fillId="0" borderId="55" xfId="0" applyNumberFormat="1" applyFont="1" applyFill="1" applyBorder="1" applyAlignment="1">
      <alignment horizontal="center"/>
    </xf>
    <xf numFmtId="1" fontId="4" fillId="0" borderId="56" xfId="0" applyNumberFormat="1" applyFont="1" applyFill="1" applyBorder="1" applyAlignment="1">
      <alignment horizontal="center"/>
    </xf>
    <xf numFmtId="3" fontId="4" fillId="0" borderId="54" xfId="0" applyNumberFormat="1" applyFont="1" applyFill="1" applyBorder="1" applyAlignment="1">
      <alignment horizontal="center"/>
    </xf>
    <xf numFmtId="3" fontId="4" fillId="0" borderId="55" xfId="0" applyNumberFormat="1" applyFont="1" applyFill="1" applyBorder="1" applyAlignment="1">
      <alignment horizontal="center"/>
    </xf>
    <xf numFmtId="3" fontId="4" fillId="0" borderId="56" xfId="0" applyNumberFormat="1" applyFont="1" applyFill="1" applyBorder="1" applyAlignment="1">
      <alignment horizontal="center"/>
    </xf>
    <xf numFmtId="4" fontId="4" fillId="0" borderId="23" xfId="0" applyNumberFormat="1" applyFont="1" applyFill="1" applyBorder="1" applyAlignment="1">
      <alignment horizontal="center"/>
    </xf>
    <xf numFmtId="4" fontId="4" fillId="37" borderId="20" xfId="0" applyNumberFormat="1" applyFont="1" applyFill="1" applyBorder="1" applyAlignment="1">
      <alignment horizontal="center"/>
    </xf>
    <xf numFmtId="2" fontId="4" fillId="37" borderId="13" xfId="0" applyNumberFormat="1" applyFont="1" applyFill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 horizontal="center"/>
    </xf>
    <xf numFmtId="0" fontId="3" fillId="0" borderId="10" xfId="15" applyFont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wrapText="1"/>
    </xf>
    <xf numFmtId="0" fontId="4" fillId="0" borderId="20" xfId="0" applyFont="1" applyBorder="1" applyAlignment="1">
      <alignment wrapText="1"/>
    </xf>
    <xf numFmtId="0" fontId="4" fillId="0" borderId="57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0" xfId="0" applyFont="1" applyBorder="1" applyAlignment="1">
      <alignment/>
    </xf>
    <xf numFmtId="0" fontId="3" fillId="0" borderId="10" xfId="15" applyFont="1" applyBorder="1" applyAlignment="1">
      <alignment vertical="center" wrapText="1"/>
      <protection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15" applyFont="1" applyBorder="1" applyAlignment="1">
      <alignment horizontal="center"/>
      <protection/>
    </xf>
    <xf numFmtId="0" fontId="4" fillId="0" borderId="10" xfId="15" applyFont="1" applyBorder="1">
      <alignment/>
      <protection/>
    </xf>
    <xf numFmtId="17" fontId="3" fillId="35" borderId="26" xfId="0" applyNumberFormat="1" applyFont="1" applyFill="1" applyBorder="1" applyAlignment="1">
      <alignment horizontal="center" vertical="center" wrapText="1"/>
    </xf>
    <xf numFmtId="1" fontId="4" fillId="38" borderId="10" xfId="0" applyNumberFormat="1" applyFont="1" applyFill="1" applyBorder="1" applyAlignment="1">
      <alignment horizontal="center"/>
    </xf>
    <xf numFmtId="0" fontId="4" fillId="39" borderId="0" xfId="0" applyFont="1" applyFill="1" applyAlignment="1">
      <alignment/>
    </xf>
    <xf numFmtId="0" fontId="3" fillId="39" borderId="0" xfId="0" applyFont="1" applyFill="1" applyAlignment="1">
      <alignment/>
    </xf>
    <xf numFmtId="0" fontId="4" fillId="39" borderId="58" xfId="0" applyFont="1" applyFill="1" applyBorder="1" applyAlignment="1">
      <alignment horizontal="center"/>
    </xf>
    <xf numFmtId="0" fontId="4" fillId="39" borderId="0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 vertical="center" wrapText="1"/>
    </xf>
    <xf numFmtId="0" fontId="4" fillId="39" borderId="20" xfId="0" applyFont="1" applyFill="1" applyBorder="1" applyAlignment="1">
      <alignment horizontal="left" vertical="center" wrapText="1"/>
    </xf>
    <xf numFmtId="0" fontId="4" fillId="39" borderId="10" xfId="0" applyFont="1" applyFill="1" applyBorder="1" applyAlignment="1">
      <alignment horizontal="left" vertical="center" wrapText="1"/>
    </xf>
    <xf numFmtId="2" fontId="4" fillId="39" borderId="10" xfId="15" applyNumberFormat="1" applyFont="1" applyFill="1" applyBorder="1" applyAlignment="1">
      <alignment vertical="center" wrapText="1"/>
      <protection/>
    </xf>
    <xf numFmtId="0" fontId="4" fillId="39" borderId="10" xfId="0" applyFont="1" applyFill="1" applyBorder="1" applyAlignment="1">
      <alignment/>
    </xf>
    <xf numFmtId="2" fontId="4" fillId="39" borderId="10" xfId="0" applyNumberFormat="1" applyFont="1" applyFill="1" applyBorder="1" applyAlignment="1">
      <alignment/>
    </xf>
    <xf numFmtId="2" fontId="50" fillId="39" borderId="10" xfId="0" applyNumberFormat="1" applyFont="1" applyFill="1" applyBorder="1" applyAlignment="1">
      <alignment/>
    </xf>
    <xf numFmtId="2" fontId="4" fillId="39" borderId="0" xfId="0" applyNumberFormat="1" applyFont="1" applyFill="1" applyAlignment="1">
      <alignment/>
    </xf>
    <xf numFmtId="0" fontId="4" fillId="39" borderId="10" xfId="0" applyNumberFormat="1" applyFont="1" applyFill="1" applyBorder="1" applyAlignment="1">
      <alignment/>
    </xf>
    <xf numFmtId="0" fontId="4" fillId="39" borderId="10" xfId="15" applyNumberFormat="1" applyFont="1" applyFill="1" applyBorder="1" applyAlignment="1">
      <alignment horizontal="right" vertical="center" wrapText="1"/>
      <protection/>
    </xf>
    <xf numFmtId="0" fontId="4" fillId="39" borderId="10" xfId="0" applyNumberFormat="1" applyFont="1" applyFill="1" applyBorder="1" applyAlignment="1">
      <alignment horizontal="right"/>
    </xf>
    <xf numFmtId="2" fontId="3" fillId="39" borderId="10" xfId="0" applyNumberFormat="1" applyFont="1" applyFill="1" applyBorder="1" applyAlignment="1">
      <alignment/>
    </xf>
    <xf numFmtId="0" fontId="3" fillId="39" borderId="10" xfId="0" applyFont="1" applyFill="1" applyBorder="1" applyAlignment="1">
      <alignment/>
    </xf>
    <xf numFmtId="2" fontId="51" fillId="39" borderId="10" xfId="0" applyNumberFormat="1" applyFont="1" applyFill="1" applyBorder="1" applyAlignment="1">
      <alignment/>
    </xf>
    <xf numFmtId="0" fontId="3" fillId="39" borderId="10" xfId="0" applyNumberFormat="1" applyFont="1" applyFill="1" applyBorder="1" applyAlignment="1">
      <alignment/>
    </xf>
    <xf numFmtId="2" fontId="4" fillId="39" borderId="10" xfId="15" applyNumberFormat="1" applyFont="1" applyFill="1" applyBorder="1">
      <alignment/>
      <protection/>
    </xf>
    <xf numFmtId="2" fontId="4" fillId="39" borderId="10" xfId="0" applyNumberFormat="1" applyFont="1" applyFill="1" applyBorder="1" applyAlignment="1">
      <alignment horizontal="right"/>
    </xf>
    <xf numFmtId="2" fontId="50" fillId="39" borderId="10" xfId="15" applyNumberFormat="1" applyFont="1" applyFill="1" applyBorder="1" applyAlignment="1">
      <alignment vertical="center" wrapText="1"/>
      <protection/>
    </xf>
    <xf numFmtId="2" fontId="50" fillId="39" borderId="0" xfId="0" applyNumberFormat="1" applyFont="1" applyFill="1" applyAlignment="1">
      <alignment/>
    </xf>
    <xf numFmtId="0" fontId="50" fillId="39" borderId="10" xfId="0" applyNumberFormat="1" applyFont="1" applyFill="1" applyBorder="1" applyAlignment="1">
      <alignment/>
    </xf>
    <xf numFmtId="0" fontId="50" fillId="39" borderId="10" xfId="15" applyNumberFormat="1" applyFont="1" applyFill="1" applyBorder="1" applyAlignment="1">
      <alignment horizontal="right" vertical="center" wrapText="1"/>
      <protection/>
    </xf>
    <xf numFmtId="2" fontId="50" fillId="39" borderId="10" xfId="15" applyNumberFormat="1" applyFont="1" applyFill="1" applyBorder="1">
      <alignment/>
      <protection/>
    </xf>
    <xf numFmtId="0" fontId="50" fillId="39" borderId="0" xfId="0" applyFont="1" applyFill="1" applyAlignment="1">
      <alignment/>
    </xf>
    <xf numFmtId="1" fontId="4" fillId="38" borderId="22" xfId="0" applyNumberFormat="1" applyFont="1" applyFill="1" applyBorder="1" applyAlignment="1">
      <alignment horizontal="center"/>
    </xf>
    <xf numFmtId="1" fontId="3" fillId="35" borderId="33" xfId="0" applyNumberFormat="1" applyFont="1" applyFill="1" applyBorder="1" applyAlignment="1">
      <alignment/>
    </xf>
    <xf numFmtId="1" fontId="4" fillId="38" borderId="29" xfId="0" applyNumberFormat="1" applyFont="1" applyFill="1" applyBorder="1" applyAlignment="1">
      <alignment horizontal="center"/>
    </xf>
    <xf numFmtId="0" fontId="5" fillId="0" borderId="12" xfId="15" applyFont="1" applyFill="1" applyBorder="1" applyAlignment="1">
      <alignment horizontal="center" vertical="center" wrapText="1"/>
      <protection/>
    </xf>
    <xf numFmtId="0" fontId="5" fillId="0" borderId="14" xfId="15" applyFont="1" applyFill="1" applyBorder="1" applyAlignment="1">
      <alignment horizontal="center" vertical="center" wrapText="1"/>
      <protection/>
    </xf>
    <xf numFmtId="4" fontId="4" fillId="37" borderId="28" xfId="0" applyNumberFormat="1" applyFont="1" applyFill="1" applyBorder="1" applyAlignment="1">
      <alignment horizontal="center"/>
    </xf>
    <xf numFmtId="0" fontId="50" fillId="39" borderId="58" xfId="0" applyFont="1" applyFill="1" applyBorder="1" applyAlignment="1">
      <alignment horizontal="center"/>
    </xf>
    <xf numFmtId="0" fontId="50" fillId="39" borderId="10" xfId="0" applyFont="1" applyFill="1" applyBorder="1" applyAlignment="1">
      <alignment horizontal="center" vertical="center" wrapText="1"/>
    </xf>
    <xf numFmtId="0" fontId="52" fillId="39" borderId="0" xfId="0" applyFont="1" applyFill="1" applyAlignment="1">
      <alignment vertical="center"/>
    </xf>
    <xf numFmtId="4" fontId="4" fillId="38" borderId="10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left" vertical="center"/>
    </xf>
    <xf numFmtId="20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200" fontId="4" fillId="0" borderId="39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2" fontId="4" fillId="0" borderId="39" xfId="0" applyNumberFormat="1" applyFont="1" applyFill="1" applyBorder="1" applyAlignment="1">
      <alignment horizontal="center" vertical="center"/>
    </xf>
    <xf numFmtId="0" fontId="4" fillId="18" borderId="21" xfId="0" applyFont="1" applyFill="1" applyBorder="1" applyAlignment="1">
      <alignment horizontal="center" vertical="center"/>
    </xf>
    <xf numFmtId="0" fontId="4" fillId="18" borderId="22" xfId="0" applyFont="1" applyFill="1" applyBorder="1" applyAlignment="1">
      <alignment horizontal="center" vertical="center"/>
    </xf>
    <xf numFmtId="0" fontId="4" fillId="18" borderId="23" xfId="0" applyFont="1" applyFill="1" applyBorder="1" applyAlignment="1">
      <alignment horizontal="center" vertical="center"/>
    </xf>
    <xf numFmtId="0" fontId="4" fillId="18" borderId="12" xfId="0" applyFont="1" applyFill="1" applyBorder="1" applyAlignment="1">
      <alignment/>
    </xf>
    <xf numFmtId="0" fontId="4" fillId="18" borderId="29" xfId="0" applyFont="1" applyFill="1" applyBorder="1" applyAlignment="1">
      <alignment horizontal="center"/>
    </xf>
    <xf numFmtId="0" fontId="4" fillId="18" borderId="14" xfId="0" applyFont="1" applyFill="1" applyBorder="1" applyAlignment="1">
      <alignment horizontal="center"/>
    </xf>
    <xf numFmtId="0" fontId="4" fillId="0" borderId="59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4" fillId="0" borderId="59" xfId="0" applyFont="1" applyBorder="1" applyAlignment="1">
      <alignment horizontal="left"/>
    </xf>
    <xf numFmtId="0" fontId="4" fillId="0" borderId="13" xfId="0" applyFont="1" applyBorder="1" applyAlignment="1">
      <alignment vertical="center"/>
    </xf>
    <xf numFmtId="0" fontId="4" fillId="0" borderId="6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200" fontId="4" fillId="0" borderId="29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2" fontId="4" fillId="0" borderId="29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39" xfId="0" applyFont="1" applyFill="1" applyBorder="1" applyAlignment="1">
      <alignment horizontal="right" vertical="center"/>
    </xf>
    <xf numFmtId="187" fontId="4" fillId="0" borderId="10" xfId="0" applyNumberFormat="1" applyFont="1" applyBorder="1" applyAlignment="1">
      <alignment horizontal="right" vertical="center"/>
    </xf>
    <xf numFmtId="2" fontId="4" fillId="0" borderId="10" xfId="0" applyNumberFormat="1" applyFont="1" applyBorder="1" applyAlignment="1">
      <alignment horizontal="right" vertical="center"/>
    </xf>
    <xf numFmtId="187" fontId="4" fillId="0" borderId="29" xfId="0" applyNumberFormat="1" applyFont="1" applyBorder="1" applyAlignment="1">
      <alignment horizontal="right" vertical="center"/>
    </xf>
    <xf numFmtId="3" fontId="6" fillId="40" borderId="15" xfId="15" applyNumberFormat="1" applyFont="1" applyFill="1" applyBorder="1" applyAlignment="1">
      <alignment horizontal="center" vertical="center"/>
      <protection/>
    </xf>
    <xf numFmtId="0" fontId="5" fillId="41" borderId="12" xfId="15" applyFont="1" applyFill="1" applyBorder="1" applyAlignment="1">
      <alignment horizontal="center" vertical="center" wrapText="1"/>
      <protection/>
    </xf>
    <xf numFmtId="0" fontId="5" fillId="41" borderId="14" xfId="15" applyFont="1" applyFill="1" applyBorder="1" applyAlignment="1">
      <alignment horizontal="center" vertical="center" wrapText="1"/>
      <protection/>
    </xf>
    <xf numFmtId="4" fontId="4" fillId="0" borderId="10" xfId="0" applyNumberFormat="1" applyFont="1" applyFill="1" applyBorder="1" applyAlignment="1">
      <alignment horizontal="center"/>
    </xf>
    <xf numFmtId="1" fontId="4" fillId="0" borderId="29" xfId="0" applyNumberFormat="1" applyFont="1" applyFill="1" applyBorder="1" applyAlignment="1">
      <alignment horizontal="center"/>
    </xf>
    <xf numFmtId="0" fontId="8" fillId="35" borderId="29" xfId="0" applyFont="1" applyFill="1" applyBorder="1" applyAlignment="1">
      <alignment horizontal="center" vertical="center" wrapText="1"/>
    </xf>
    <xf numFmtId="3" fontId="3" fillId="42" borderId="29" xfId="0" applyNumberFormat="1" applyFont="1" applyFill="1" applyBorder="1" applyAlignment="1">
      <alignment horizontal="center"/>
    </xf>
    <xf numFmtId="4" fontId="4" fillId="39" borderId="2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10" fillId="33" borderId="10" xfId="15" applyFont="1" applyFill="1" applyBorder="1" applyAlignment="1">
      <alignment vertical="center" wrapText="1"/>
      <protection/>
    </xf>
    <xf numFmtId="187" fontId="10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87" fontId="10" fillId="0" borderId="0" xfId="0" applyNumberFormat="1" applyFont="1" applyAlignment="1">
      <alignment/>
    </xf>
    <xf numFmtId="0" fontId="3" fillId="33" borderId="10" xfId="15" applyFont="1" applyFill="1" applyBorder="1" applyAlignment="1">
      <alignment vertical="center" wrapText="1"/>
      <protection/>
    </xf>
    <xf numFmtId="187" fontId="3" fillId="0" borderId="19" xfId="0" applyNumberFormat="1" applyFont="1" applyBorder="1" applyAlignment="1">
      <alignment horizontal="center"/>
    </xf>
    <xf numFmtId="187" fontId="3" fillId="0" borderId="10" xfId="0" applyNumberFormat="1" applyFont="1" applyBorder="1" applyAlignment="1">
      <alignment horizontal="center"/>
    </xf>
    <xf numFmtId="187" fontId="3" fillId="0" borderId="0" xfId="0" applyNumberFormat="1" applyFont="1" applyAlignment="1">
      <alignment/>
    </xf>
    <xf numFmtId="187" fontId="10" fillId="0" borderId="19" xfId="0" applyNumberFormat="1" applyFont="1" applyBorder="1" applyAlignment="1">
      <alignment horizontal="center"/>
    </xf>
    <xf numFmtId="0" fontId="50" fillId="0" borderId="10" xfId="15" applyFont="1" applyBorder="1" applyAlignment="1">
      <alignment horizontal="center" vertical="center" wrapText="1"/>
      <protection/>
    </xf>
    <xf numFmtId="0" fontId="50" fillId="33" borderId="10" xfId="15" applyFont="1" applyFill="1" applyBorder="1" applyAlignment="1">
      <alignment vertical="center" wrapText="1"/>
      <protection/>
    </xf>
    <xf numFmtId="0" fontId="50" fillId="39" borderId="10" xfId="0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10" xfId="0" applyFont="1" applyBorder="1" applyAlignment="1">
      <alignment/>
    </xf>
    <xf numFmtId="4" fontId="4" fillId="0" borderId="41" xfId="0" applyNumberFormat="1" applyFont="1" applyBorder="1" applyAlignment="1">
      <alignment horizontal="center"/>
    </xf>
    <xf numFmtId="0" fontId="5" fillId="41" borderId="12" xfId="15" applyFont="1" applyFill="1" applyBorder="1" applyAlignment="1">
      <alignment horizontal="center" vertical="center" wrapText="1"/>
      <protection/>
    </xf>
    <xf numFmtId="0" fontId="5" fillId="41" borderId="14" xfId="15" applyFont="1" applyFill="1" applyBorder="1" applyAlignment="1">
      <alignment horizontal="center" vertical="center" wrapText="1"/>
      <protection/>
    </xf>
    <xf numFmtId="0" fontId="0" fillId="39" borderId="10" xfId="0" applyFont="1" applyFill="1" applyBorder="1" applyAlignment="1">
      <alignment horizontal="left" vertical="center" wrapText="1"/>
    </xf>
    <xf numFmtId="187" fontId="3" fillId="42" borderId="29" xfId="0" applyNumberFormat="1" applyFont="1" applyFill="1" applyBorder="1" applyAlignment="1">
      <alignment horizontal="center"/>
    </xf>
    <xf numFmtId="1" fontId="4" fillId="38" borderId="24" xfId="0" applyNumberFormat="1" applyFont="1" applyFill="1" applyBorder="1" applyAlignment="1">
      <alignment horizontal="center"/>
    </xf>
    <xf numFmtId="3" fontId="4" fillId="0" borderId="61" xfId="0" applyNumberFormat="1" applyFont="1" applyBorder="1" applyAlignment="1">
      <alignment horizontal="center"/>
    </xf>
    <xf numFmtId="2" fontId="4" fillId="38" borderId="39" xfId="0" applyNumberFormat="1" applyFont="1" applyFill="1" applyBorder="1" applyAlignment="1">
      <alignment horizontal="center"/>
    </xf>
    <xf numFmtId="0" fontId="4" fillId="38" borderId="10" xfId="0" applyFont="1" applyFill="1" applyBorder="1" applyAlignment="1">
      <alignment/>
    </xf>
    <xf numFmtId="0" fontId="3" fillId="35" borderId="26" xfId="0" applyFont="1" applyFill="1" applyBorder="1" applyAlignment="1">
      <alignment horizontal="center" vertical="center" wrapText="1"/>
    </xf>
    <xf numFmtId="0" fontId="8" fillId="35" borderId="26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3" fontId="4" fillId="0" borderId="40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4" fontId="4" fillId="0" borderId="22" xfId="0" applyNumberFormat="1" applyFont="1" applyFill="1" applyBorder="1" applyAlignment="1">
      <alignment horizontal="center"/>
    </xf>
    <xf numFmtId="4" fontId="4" fillId="38" borderId="22" xfId="0" applyNumberFormat="1" applyFont="1" applyFill="1" applyBorder="1" applyAlignment="1">
      <alignment horizontal="center"/>
    </xf>
    <xf numFmtId="187" fontId="3" fillId="36" borderId="12" xfId="0" applyNumberFormat="1" applyFont="1" applyFill="1" applyBorder="1" applyAlignment="1">
      <alignment horizontal="center"/>
    </xf>
    <xf numFmtId="1" fontId="3" fillId="42" borderId="29" xfId="0" applyNumberFormat="1" applyFont="1" applyFill="1" applyBorder="1" applyAlignment="1">
      <alignment horizontal="center"/>
    </xf>
    <xf numFmtId="3" fontId="3" fillId="35" borderId="62" xfId="0" applyNumberFormat="1" applyFont="1" applyFill="1" applyBorder="1" applyAlignment="1">
      <alignment horizontal="center"/>
    </xf>
    <xf numFmtId="0" fontId="4" fillId="38" borderId="24" xfId="0" applyFont="1" applyFill="1" applyBorder="1" applyAlignment="1">
      <alignment horizontal="center"/>
    </xf>
    <xf numFmtId="0" fontId="4" fillId="38" borderId="18" xfId="0" applyFont="1" applyFill="1" applyBorder="1" applyAlignment="1">
      <alignment horizontal="center"/>
    </xf>
    <xf numFmtId="3" fontId="3" fillId="35" borderId="63" xfId="0" applyNumberFormat="1" applyFont="1" applyFill="1" applyBorder="1" applyAlignment="1">
      <alignment horizontal="center"/>
    </xf>
    <xf numFmtId="3" fontId="3" fillId="35" borderId="37" xfId="0" applyNumberFormat="1" applyFont="1" applyFill="1" applyBorder="1" applyAlignment="1">
      <alignment horizontal="center"/>
    </xf>
    <xf numFmtId="2" fontId="3" fillId="35" borderId="38" xfId="0" applyNumberFormat="1" applyFont="1" applyFill="1" applyBorder="1" applyAlignment="1">
      <alignment horizontal="center"/>
    </xf>
    <xf numFmtId="0" fontId="4" fillId="38" borderId="21" xfId="0" applyFont="1" applyFill="1" applyBorder="1" applyAlignment="1">
      <alignment horizontal="center"/>
    </xf>
    <xf numFmtId="0" fontId="4" fillId="38" borderId="12" xfId="0" applyFont="1" applyFill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1" fontId="4" fillId="0" borderId="61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3" fontId="3" fillId="43" borderId="33" xfId="0" applyNumberFormat="1" applyFon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87" fontId="3" fillId="36" borderId="25" xfId="0" applyNumberFormat="1" applyFont="1" applyFill="1" applyBorder="1" applyAlignment="1">
      <alignment horizontal="center"/>
    </xf>
    <xf numFmtId="1" fontId="3" fillId="42" borderId="26" xfId="0" applyNumberFormat="1" applyFont="1" applyFill="1" applyBorder="1" applyAlignment="1">
      <alignment horizontal="center"/>
    </xf>
    <xf numFmtId="187" fontId="3" fillId="42" borderId="26" xfId="0" applyNumberFormat="1" applyFont="1" applyFill="1" applyBorder="1" applyAlignment="1">
      <alignment horizontal="center"/>
    </xf>
    <xf numFmtId="3" fontId="3" fillId="42" borderId="26" xfId="0" applyNumberFormat="1" applyFont="1" applyFill="1" applyBorder="1" applyAlignment="1">
      <alignment horizontal="center"/>
    </xf>
    <xf numFmtId="0" fontId="4" fillId="38" borderId="22" xfId="0" applyFont="1" applyFill="1" applyBorder="1" applyAlignment="1">
      <alignment/>
    </xf>
    <xf numFmtId="3" fontId="4" fillId="0" borderId="19" xfId="0" applyNumberFormat="1" applyFont="1" applyBorder="1" applyAlignment="1">
      <alignment horizontal="center"/>
    </xf>
    <xf numFmtId="3" fontId="4" fillId="38" borderId="13" xfId="0" applyNumberFormat="1" applyFont="1" applyFill="1" applyBorder="1" applyAlignment="1">
      <alignment horizontal="center"/>
    </xf>
    <xf numFmtId="1" fontId="3" fillId="43" borderId="33" xfId="0" applyNumberFormat="1" applyFon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3" xfId="0" applyFill="1" applyBorder="1" applyAlignment="1">
      <alignment/>
    </xf>
    <xf numFmtId="0" fontId="0" fillId="16" borderId="10" xfId="0" applyFill="1" applyBorder="1" applyAlignment="1">
      <alignment/>
    </xf>
    <xf numFmtId="0" fontId="0" fillId="16" borderId="0" xfId="0" applyFill="1" applyAlignment="1">
      <alignment/>
    </xf>
    <xf numFmtId="0" fontId="53" fillId="16" borderId="10" xfId="0" applyFont="1" applyFill="1" applyBorder="1" applyAlignment="1">
      <alignment/>
    </xf>
    <xf numFmtId="0" fontId="53" fillId="16" borderId="0" xfId="0" applyFont="1" applyFill="1" applyAlignment="1">
      <alignment/>
    </xf>
    <xf numFmtId="0" fontId="0" fillId="0" borderId="39" xfId="0" applyBorder="1" applyAlignment="1">
      <alignment/>
    </xf>
    <xf numFmtId="0" fontId="0" fillId="38" borderId="10" xfId="0" applyFill="1" applyBorder="1" applyAlignment="1">
      <alignment vertical="center"/>
    </xf>
    <xf numFmtId="0" fontId="53" fillId="38" borderId="10" xfId="0" applyFont="1" applyFill="1" applyBorder="1" applyAlignment="1">
      <alignment/>
    </xf>
    <xf numFmtId="0" fontId="0" fillId="13" borderId="0" xfId="0" applyFill="1" applyAlignment="1">
      <alignment/>
    </xf>
    <xf numFmtId="0" fontId="0" fillId="13" borderId="33" xfId="0" applyFont="1" applyFill="1" applyBorder="1" applyAlignment="1">
      <alignment/>
    </xf>
    <xf numFmtId="0" fontId="0" fillId="13" borderId="10" xfId="0" applyFill="1" applyBorder="1" applyAlignment="1">
      <alignment/>
    </xf>
    <xf numFmtId="3" fontId="3" fillId="35" borderId="64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1" fontId="4" fillId="0" borderId="40" xfId="0" applyNumberFormat="1" applyFont="1" applyBorder="1" applyAlignment="1">
      <alignment horizontal="center"/>
    </xf>
    <xf numFmtId="3" fontId="4" fillId="0" borderId="39" xfId="0" applyNumberFormat="1" applyFont="1" applyFill="1" applyBorder="1" applyAlignment="1">
      <alignment horizontal="center"/>
    </xf>
    <xf numFmtId="3" fontId="4" fillId="38" borderId="39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2" fontId="4" fillId="0" borderId="61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3" fillId="36" borderId="65" xfId="0" applyNumberFormat="1" applyFont="1" applyFill="1" applyBorder="1" applyAlignment="1">
      <alignment horizontal="center"/>
    </xf>
    <xf numFmtId="2" fontId="4" fillId="0" borderId="40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2" fontId="3" fillId="36" borderId="17" xfId="0" applyNumberFormat="1" applyFont="1" applyFill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1" fontId="4" fillId="38" borderId="39" xfId="0" applyNumberFormat="1" applyFont="1" applyFill="1" applyBorder="1" applyAlignment="1">
      <alignment horizontal="center"/>
    </xf>
    <xf numFmtId="0" fontId="4" fillId="0" borderId="66" xfId="0" applyFont="1" applyBorder="1" applyAlignment="1">
      <alignment/>
    </xf>
    <xf numFmtId="3" fontId="4" fillId="38" borderId="16" xfId="0" applyNumberFormat="1" applyFont="1" applyFill="1" applyBorder="1" applyAlignment="1">
      <alignment horizontal="center"/>
    </xf>
    <xf numFmtId="3" fontId="3" fillId="36" borderId="27" xfId="0" applyNumberFormat="1" applyFont="1" applyFill="1" applyBorder="1" applyAlignment="1">
      <alignment horizontal="center"/>
    </xf>
    <xf numFmtId="3" fontId="3" fillId="36" borderId="67" xfId="0" applyNumberFormat="1" applyFont="1" applyFill="1" applyBorder="1" applyAlignment="1">
      <alignment horizontal="center"/>
    </xf>
    <xf numFmtId="0" fontId="4" fillId="38" borderId="39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187" fontId="3" fillId="35" borderId="68" xfId="0" applyNumberFormat="1" applyFont="1" applyFill="1" applyBorder="1" applyAlignment="1">
      <alignment horizontal="center"/>
    </xf>
    <xf numFmtId="1" fontId="3" fillId="44" borderId="43" xfId="0" applyNumberFormat="1" applyFont="1" applyFill="1" applyBorder="1" applyAlignment="1">
      <alignment horizontal="center"/>
    </xf>
    <xf numFmtId="1" fontId="3" fillId="35" borderId="34" xfId="0" applyNumberFormat="1" applyFont="1" applyFill="1" applyBorder="1" applyAlignment="1">
      <alignment/>
    </xf>
    <xf numFmtId="3" fontId="3" fillId="43" borderId="34" xfId="0" applyNumberFormat="1" applyFont="1" applyFill="1" applyBorder="1" applyAlignment="1">
      <alignment horizontal="center"/>
    </xf>
    <xf numFmtId="2" fontId="3" fillId="35" borderId="63" xfId="0" applyNumberFormat="1" applyFont="1" applyFill="1" applyBorder="1" applyAlignment="1">
      <alignment horizontal="center"/>
    </xf>
    <xf numFmtId="1" fontId="4" fillId="0" borderId="61" xfId="0" applyNumberFormat="1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187" fontId="3" fillId="36" borderId="33" xfId="0" applyNumberFormat="1" applyFont="1" applyFill="1" applyBorder="1" applyAlignment="1">
      <alignment horizontal="center"/>
    </xf>
    <xf numFmtId="17" fontId="5" fillId="41" borderId="21" xfId="0" applyNumberFormat="1" applyFont="1" applyFill="1" applyBorder="1" applyAlignment="1">
      <alignment horizontal="center" vertical="center" wrapText="1"/>
    </xf>
    <xf numFmtId="17" fontId="5" fillId="34" borderId="24" xfId="0" applyNumberFormat="1" applyFont="1" applyFill="1" applyBorder="1" applyAlignment="1">
      <alignment horizontal="center" vertical="center" wrapText="1"/>
    </xf>
    <xf numFmtId="17" fontId="5" fillId="41" borderId="2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5" fillId="34" borderId="21" xfId="15" applyFont="1" applyFill="1" applyBorder="1" applyAlignment="1">
      <alignment horizontal="center" vertical="center" wrapText="1"/>
      <protection/>
    </xf>
    <xf numFmtId="0" fontId="5" fillId="41" borderId="12" xfId="15" applyFont="1" applyFill="1" applyBorder="1" applyAlignment="1">
      <alignment horizontal="center" vertical="center" wrapText="1"/>
      <protection/>
    </xf>
    <xf numFmtId="0" fontId="5" fillId="34" borderId="23" xfId="15" applyFont="1" applyFill="1" applyBorder="1" applyAlignment="1">
      <alignment horizontal="center" vertical="center" wrapText="1"/>
      <protection/>
    </xf>
    <xf numFmtId="0" fontId="5" fillId="41" borderId="14" xfId="15" applyFont="1" applyFill="1" applyBorder="1" applyAlignment="1">
      <alignment horizontal="center" vertical="center" wrapText="1"/>
      <protection/>
    </xf>
    <xf numFmtId="17" fontId="5" fillId="0" borderId="21" xfId="0" applyNumberFormat="1" applyFont="1" applyFill="1" applyBorder="1" applyAlignment="1">
      <alignment horizontal="center" vertical="center" wrapText="1"/>
    </xf>
    <xf numFmtId="17" fontId="5" fillId="0" borderId="23" xfId="0" applyNumberFormat="1" applyFont="1" applyFill="1" applyBorder="1" applyAlignment="1">
      <alignment horizontal="center" vertical="center" wrapText="1"/>
    </xf>
    <xf numFmtId="0" fontId="3" fillId="36" borderId="69" xfId="15" applyFont="1" applyFill="1" applyBorder="1" applyAlignment="1">
      <alignment horizontal="center" vertical="center" wrapText="1"/>
      <protection/>
    </xf>
    <xf numFmtId="0" fontId="3" fillId="36" borderId="46" xfId="15" applyFont="1" applyFill="1" applyBorder="1" applyAlignment="1">
      <alignment horizontal="center" vertical="center" wrapText="1"/>
      <protection/>
    </xf>
    <xf numFmtId="17" fontId="3" fillId="35" borderId="20" xfId="0" applyNumberFormat="1" applyFont="1" applyFill="1" applyBorder="1" applyAlignment="1">
      <alignment horizontal="center" vertical="center" wrapText="1"/>
    </xf>
    <xf numFmtId="17" fontId="3" fillId="35" borderId="57" xfId="0" applyNumberFormat="1" applyFont="1" applyFill="1" applyBorder="1" applyAlignment="1">
      <alignment horizontal="center" vertical="center" wrapText="1"/>
    </xf>
    <xf numFmtId="17" fontId="3" fillId="35" borderId="19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70" xfId="0" applyFont="1" applyFill="1" applyBorder="1" applyAlignment="1">
      <alignment horizontal="center" vertical="center" wrapText="1"/>
    </xf>
    <xf numFmtId="0" fontId="3" fillId="35" borderId="71" xfId="0" applyFont="1" applyFill="1" applyBorder="1" applyAlignment="1">
      <alignment horizontal="center" vertical="center" wrapText="1"/>
    </xf>
    <xf numFmtId="0" fontId="3" fillId="35" borderId="61" xfId="0" applyFont="1" applyFill="1" applyBorder="1" applyAlignment="1">
      <alignment horizontal="center" vertical="center" wrapText="1"/>
    </xf>
    <xf numFmtId="0" fontId="3" fillId="35" borderId="72" xfId="15" applyFont="1" applyFill="1" applyBorder="1" applyAlignment="1">
      <alignment horizontal="center" vertical="center" wrapText="1"/>
      <protection/>
    </xf>
    <xf numFmtId="0" fontId="3" fillId="35" borderId="43" xfId="15" applyFont="1" applyFill="1" applyBorder="1" applyAlignment="1">
      <alignment horizontal="center" vertical="center" wrapText="1"/>
      <protection/>
    </xf>
    <xf numFmtId="0" fontId="3" fillId="35" borderId="25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65" xfId="0" applyFont="1" applyFill="1" applyBorder="1" applyAlignment="1">
      <alignment horizontal="center" vertical="center" wrapText="1"/>
    </xf>
    <xf numFmtId="0" fontId="3" fillId="36" borderId="18" xfId="15" applyFont="1" applyFill="1" applyBorder="1" applyAlignment="1">
      <alignment horizontal="center" vertical="center" wrapText="1"/>
      <protection/>
    </xf>
    <xf numFmtId="0" fontId="3" fillId="36" borderId="17" xfId="15" applyFont="1" applyFill="1" applyBorder="1" applyAlignment="1">
      <alignment horizontal="center" vertical="center" wrapText="1"/>
      <protection/>
    </xf>
    <xf numFmtId="0" fontId="3" fillId="35" borderId="20" xfId="0" applyFont="1" applyFill="1" applyBorder="1" applyAlignment="1">
      <alignment horizontal="center" vertical="center" wrapText="1"/>
    </xf>
    <xf numFmtId="0" fontId="3" fillId="35" borderId="57" xfId="0" applyFont="1" applyFill="1" applyBorder="1" applyAlignment="1">
      <alignment horizontal="center" vertical="center" wrapText="1"/>
    </xf>
    <xf numFmtId="0" fontId="3" fillId="35" borderId="73" xfId="0" applyFont="1" applyFill="1" applyBorder="1" applyAlignment="1">
      <alignment horizontal="center" vertical="center" wrapText="1"/>
    </xf>
    <xf numFmtId="0" fontId="3" fillId="35" borderId="67" xfId="0" applyFont="1" applyFill="1" applyBorder="1" applyAlignment="1">
      <alignment horizontal="center" vertical="center" wrapText="1"/>
    </xf>
    <xf numFmtId="0" fontId="3" fillId="35" borderId="74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75" xfId="0" applyFont="1" applyBorder="1" applyAlignment="1">
      <alignment horizontal="left" wrapText="1"/>
    </xf>
    <xf numFmtId="0" fontId="3" fillId="35" borderId="63" xfId="15" applyFont="1" applyFill="1" applyBorder="1" applyAlignment="1">
      <alignment horizontal="center" vertical="center" wrapText="1"/>
      <protection/>
    </xf>
    <xf numFmtId="0" fontId="3" fillId="35" borderId="30" xfId="15" applyFont="1" applyFill="1" applyBorder="1" applyAlignment="1">
      <alignment horizontal="center" vertical="center" wrapText="1"/>
      <protection/>
    </xf>
    <xf numFmtId="0" fontId="3" fillId="35" borderId="65" xfId="15" applyFont="1" applyFill="1" applyBorder="1" applyAlignment="1">
      <alignment horizontal="center" vertical="center" wrapText="1"/>
      <protection/>
    </xf>
    <xf numFmtId="0" fontId="3" fillId="35" borderId="38" xfId="15" applyFont="1" applyFill="1" applyBorder="1" applyAlignment="1">
      <alignment horizontal="center" vertical="center" wrapText="1"/>
      <protection/>
    </xf>
    <xf numFmtId="0" fontId="3" fillId="35" borderId="31" xfId="15" applyFont="1" applyFill="1" applyBorder="1" applyAlignment="1">
      <alignment horizontal="center" vertical="center" wrapText="1"/>
      <protection/>
    </xf>
    <xf numFmtId="0" fontId="3" fillId="35" borderId="76" xfId="15" applyFont="1" applyFill="1" applyBorder="1" applyAlignment="1">
      <alignment horizontal="center" vertical="center" wrapText="1"/>
      <protection/>
    </xf>
    <xf numFmtId="0" fontId="3" fillId="35" borderId="38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7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3" fillId="35" borderId="77" xfId="15" applyFont="1" applyFill="1" applyBorder="1" applyAlignment="1">
      <alignment horizontal="center" vertical="center" wrapText="1"/>
      <protection/>
    </xf>
    <xf numFmtId="17" fontId="3" fillId="35" borderId="70" xfId="0" applyNumberFormat="1" applyFont="1" applyFill="1" applyBorder="1" applyAlignment="1">
      <alignment horizontal="center" vertical="center" wrapText="1"/>
    </xf>
    <xf numFmtId="17" fontId="3" fillId="35" borderId="71" xfId="0" applyNumberFormat="1" applyFont="1" applyFill="1" applyBorder="1" applyAlignment="1">
      <alignment horizontal="center" vertical="center" wrapText="1"/>
    </xf>
    <xf numFmtId="17" fontId="3" fillId="35" borderId="74" xfId="0" applyNumberFormat="1" applyFont="1" applyFill="1" applyBorder="1" applyAlignment="1">
      <alignment horizontal="center" vertical="center" wrapText="1"/>
    </xf>
    <xf numFmtId="0" fontId="3" fillId="36" borderId="12" xfId="15" applyFont="1" applyFill="1" applyBorder="1" applyAlignment="1">
      <alignment horizontal="center" vertical="center" wrapText="1"/>
      <protection/>
    </xf>
    <xf numFmtId="0" fontId="3" fillId="36" borderId="26" xfId="15" applyFont="1" applyFill="1" applyBorder="1" applyAlignment="1">
      <alignment horizontal="center" vertical="center" wrapText="1"/>
      <protection/>
    </xf>
    <xf numFmtId="0" fontId="3" fillId="35" borderId="42" xfId="15" applyFont="1" applyFill="1" applyBorder="1" applyAlignment="1">
      <alignment horizontal="center" vertical="center" wrapText="1"/>
      <protection/>
    </xf>
    <xf numFmtId="0" fontId="3" fillId="35" borderId="34" xfId="15" applyFont="1" applyFill="1" applyBorder="1" applyAlignment="1">
      <alignment horizontal="center" vertical="center" wrapText="1"/>
      <protection/>
    </xf>
    <xf numFmtId="0" fontId="3" fillId="35" borderId="10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0" fontId="3" fillId="35" borderId="3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57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33" xfId="0" applyFont="1" applyFill="1" applyBorder="1" applyAlignment="1">
      <alignment horizontal="center" vertical="center"/>
    </xf>
    <xf numFmtId="0" fontId="54" fillId="38" borderId="10" xfId="0" applyFont="1" applyFill="1" applyBorder="1" applyAlignment="1">
      <alignment horizontal="center"/>
    </xf>
    <xf numFmtId="0" fontId="53" fillId="38" borderId="10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5" fillId="39" borderId="0" xfId="0" applyFont="1" applyFill="1" applyAlignment="1">
      <alignment horizontal="left" wrapText="1"/>
    </xf>
    <xf numFmtId="0" fontId="5" fillId="39" borderId="0" xfId="0" applyFont="1" applyFill="1" applyAlignment="1">
      <alignment horizontal="left" vertical="top" wrapText="1"/>
    </xf>
    <xf numFmtId="0" fontId="5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50">
    <cellStyle name="Normal" xfId="0"/>
    <cellStyle name="0,0&#13;&#10;NA&#13;&#10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U23"/>
  <sheetViews>
    <sheetView tabSelected="1" zoomScalePageLayoutView="0" workbookViewId="0" topLeftCell="E1">
      <selection activeCell="E9" sqref="E9"/>
    </sheetView>
  </sheetViews>
  <sheetFormatPr defaultColWidth="9.140625" defaultRowHeight="12.75"/>
  <cols>
    <col min="1" max="4" width="0" style="3" hidden="1" customWidth="1"/>
    <col min="5" max="5" width="18.140625" style="3" customWidth="1"/>
    <col min="6" max="6" width="14.57421875" style="3" customWidth="1"/>
    <col min="7" max="7" width="15.00390625" style="3" customWidth="1"/>
    <col min="8" max="8" width="13.7109375" style="3" customWidth="1"/>
    <col min="9" max="9" width="12.57421875" style="3" customWidth="1"/>
    <col min="10" max="10" width="12.421875" style="3" customWidth="1"/>
    <col min="11" max="13" width="0" style="3" hidden="1" customWidth="1"/>
    <col min="14" max="17" width="9.28125" style="3" hidden="1" customWidth="1"/>
    <col min="18" max="18" width="14.00390625" style="3" customWidth="1"/>
    <col min="19" max="19" width="15.140625" style="3" customWidth="1"/>
    <col min="20" max="20" width="17.00390625" style="3" customWidth="1"/>
    <col min="21" max="16384" width="9.140625" style="3" customWidth="1"/>
  </cols>
  <sheetData>
    <row r="2" ht="24.75" customHeight="1" thickBot="1">
      <c r="E2" s="274" t="s">
        <v>139</v>
      </c>
    </row>
    <row r="3" spans="4:21" s="279" customFormat="1" ht="30" customHeight="1">
      <c r="D3" s="280"/>
      <c r="E3" s="287" t="s">
        <v>132</v>
      </c>
      <c r="F3" s="288" t="s">
        <v>133</v>
      </c>
      <c r="G3" s="288" t="s">
        <v>134</v>
      </c>
      <c r="H3" s="288" t="s">
        <v>135</v>
      </c>
      <c r="I3" s="288"/>
      <c r="J3" s="288" t="s">
        <v>136</v>
      </c>
      <c r="K3" s="288"/>
      <c r="L3" s="288"/>
      <c r="M3" s="288"/>
      <c r="N3" s="288"/>
      <c r="O3" s="288"/>
      <c r="P3" s="288"/>
      <c r="Q3" s="288"/>
      <c r="R3" s="288"/>
      <c r="S3" s="288" t="s">
        <v>137</v>
      </c>
      <c r="T3" s="289" t="s">
        <v>138</v>
      </c>
      <c r="U3" s="282"/>
    </row>
    <row r="4" spans="4:21" s="4" customFormat="1" ht="30" customHeight="1" thickBot="1">
      <c r="D4" s="281"/>
      <c r="E4" s="290"/>
      <c r="F4" s="291"/>
      <c r="G4" s="291"/>
      <c r="H4" s="291"/>
      <c r="I4" s="291" t="s">
        <v>40</v>
      </c>
      <c r="J4" s="291"/>
      <c r="K4" s="291"/>
      <c r="L4" s="291"/>
      <c r="M4" s="291"/>
      <c r="N4" s="291"/>
      <c r="O4" s="291"/>
      <c r="P4" s="291"/>
      <c r="Q4" s="291"/>
      <c r="R4" s="291" t="s">
        <v>40</v>
      </c>
      <c r="S4" s="291" t="s">
        <v>140</v>
      </c>
      <c r="T4" s="292"/>
      <c r="U4" s="283"/>
    </row>
    <row r="5" spans="5:20" s="273" customFormat="1" ht="30" customHeight="1">
      <c r="E5" s="293" t="s">
        <v>141</v>
      </c>
      <c r="F5" s="284">
        <v>-0.05</v>
      </c>
      <c r="G5" s="284">
        <v>-0.11</v>
      </c>
      <c r="H5" s="284">
        <v>0.1</v>
      </c>
      <c r="I5" s="304">
        <v>12410.39</v>
      </c>
      <c r="J5" s="284">
        <v>0.04</v>
      </c>
      <c r="K5" s="285"/>
      <c r="L5" s="285"/>
      <c r="M5" s="285"/>
      <c r="N5" s="285"/>
      <c r="O5" s="285"/>
      <c r="P5" s="285"/>
      <c r="Q5" s="285"/>
      <c r="R5" s="304">
        <v>12726.14</v>
      </c>
      <c r="S5" s="286">
        <f aca="true" t="shared" si="0" ref="S5:S11">(R5-I5)/I5%</f>
        <v>2.544239141558001</v>
      </c>
      <c r="T5" s="294"/>
    </row>
    <row r="6" spans="5:20" ht="30" customHeight="1">
      <c r="E6" s="295" t="s">
        <v>142</v>
      </c>
      <c r="F6" s="275">
        <v>-0.23</v>
      </c>
      <c r="G6" s="275">
        <v>-0.21</v>
      </c>
      <c r="H6" s="275">
        <v>-0.21</v>
      </c>
      <c r="I6" s="305">
        <f>11224.67-3819.34</f>
        <v>7405.33</v>
      </c>
      <c r="J6" s="275">
        <v>-0.14</v>
      </c>
      <c r="K6" s="276"/>
      <c r="L6" s="276"/>
      <c r="M6" s="276"/>
      <c r="N6" s="276"/>
      <c r="O6" s="276"/>
      <c r="P6" s="276"/>
      <c r="Q6" s="277"/>
      <c r="R6" s="276">
        <f>10456.19-4268.67</f>
        <v>6187.52</v>
      </c>
      <c r="S6" s="278">
        <f t="shared" si="0"/>
        <v>-16.445047013434912</v>
      </c>
      <c r="T6" s="296"/>
    </row>
    <row r="7" spans="5:20" ht="30" customHeight="1">
      <c r="E7" s="297" t="s">
        <v>127</v>
      </c>
      <c r="F7" s="275">
        <v>0.32</v>
      </c>
      <c r="G7" s="275">
        <v>0.25</v>
      </c>
      <c r="H7" s="275">
        <v>0.07</v>
      </c>
      <c r="I7" s="305">
        <v>3819.34</v>
      </c>
      <c r="J7" s="275">
        <v>0.1</v>
      </c>
      <c r="K7" s="276"/>
      <c r="L7" s="276"/>
      <c r="M7" s="276"/>
      <c r="N7" s="276"/>
      <c r="O7" s="276"/>
      <c r="P7" s="276"/>
      <c r="Q7" s="276"/>
      <c r="R7" s="276">
        <v>4268.67</v>
      </c>
      <c r="S7" s="278">
        <f t="shared" si="0"/>
        <v>11.764598071918181</v>
      </c>
      <c r="T7" s="296"/>
    </row>
    <row r="8" spans="5:20" ht="30" customHeight="1">
      <c r="E8" s="297" t="s">
        <v>128</v>
      </c>
      <c r="F8" s="275">
        <v>0.06</v>
      </c>
      <c r="G8" s="275">
        <v>0.42</v>
      </c>
      <c r="H8" s="275">
        <v>-0.01</v>
      </c>
      <c r="I8" s="305">
        <v>1796.74</v>
      </c>
      <c r="J8" s="275">
        <v>0</v>
      </c>
      <c r="K8" s="276"/>
      <c r="L8" s="276"/>
      <c r="M8" s="276"/>
      <c r="N8" s="276"/>
      <c r="O8" s="276"/>
      <c r="P8" s="276"/>
      <c r="Q8" s="276"/>
      <c r="R8" s="276">
        <v>2097.69</v>
      </c>
      <c r="S8" s="278">
        <f t="shared" si="0"/>
        <v>16.749780157396174</v>
      </c>
      <c r="T8" s="296"/>
    </row>
    <row r="9" spans="5:20" ht="30" customHeight="1">
      <c r="E9" s="298" t="s">
        <v>129</v>
      </c>
      <c r="F9" s="275">
        <v>-0.12</v>
      </c>
      <c r="G9" s="275">
        <v>-0.01</v>
      </c>
      <c r="H9" s="275">
        <v>-0.2</v>
      </c>
      <c r="I9" s="306">
        <v>222.99</v>
      </c>
      <c r="J9" s="275">
        <v>-0.08</v>
      </c>
      <c r="K9" s="276"/>
      <c r="L9" s="276"/>
      <c r="M9" s="276"/>
      <c r="N9" s="276"/>
      <c r="O9" s="276"/>
      <c r="P9" s="276"/>
      <c r="Q9" s="276"/>
      <c r="R9" s="276">
        <v>255.88</v>
      </c>
      <c r="S9" s="278">
        <f t="shared" si="0"/>
        <v>14.749540338131748</v>
      </c>
      <c r="T9" s="296"/>
    </row>
    <row r="10" spans="5:20" ht="30" customHeight="1">
      <c r="E10" s="298" t="s">
        <v>130</v>
      </c>
      <c r="F10" s="275">
        <v>-0.59</v>
      </c>
      <c r="G10" s="275">
        <v>-2.25</v>
      </c>
      <c r="H10" s="275">
        <v>-1.29</v>
      </c>
      <c r="I10" s="305">
        <f>67.62+41.92+28.7</f>
        <v>138.24</v>
      </c>
      <c r="J10" s="275">
        <v>-3.81</v>
      </c>
      <c r="K10" s="276"/>
      <c r="L10" s="276"/>
      <c r="M10" s="276"/>
      <c r="N10" s="276"/>
      <c r="O10" s="276"/>
      <c r="P10" s="276"/>
      <c r="Q10" s="276"/>
      <c r="R10" s="276">
        <f>29.71+31.33+217.9</f>
        <v>278.94</v>
      </c>
      <c r="S10" s="278">
        <f t="shared" si="0"/>
        <v>101.77951388888887</v>
      </c>
      <c r="T10" s="296"/>
    </row>
    <row r="11" spans="5:20" ht="30" customHeight="1" thickBot="1">
      <c r="E11" s="299" t="s">
        <v>131</v>
      </c>
      <c r="F11" s="300">
        <v>0.01</v>
      </c>
      <c r="G11" s="300">
        <v>0.1</v>
      </c>
      <c r="H11" s="300">
        <v>-0.18</v>
      </c>
      <c r="I11" s="307">
        <f>1473.08-(28.7+67.62+41.92)</f>
        <v>1334.84</v>
      </c>
      <c r="J11" s="300">
        <v>-0.15</v>
      </c>
      <c r="K11" s="301"/>
      <c r="L11" s="301"/>
      <c r="M11" s="301"/>
      <c r="N11" s="301"/>
      <c r="O11" s="301"/>
      <c r="P11" s="301"/>
      <c r="Q11" s="301"/>
      <c r="R11" s="301">
        <f>1588.71-(29.71+31.33+217.9)</f>
        <v>1309.77</v>
      </c>
      <c r="S11" s="302">
        <f t="shared" si="0"/>
        <v>-1.8781277156812755</v>
      </c>
      <c r="T11" s="303"/>
    </row>
    <row r="12" spans="5:10" ht="21" customHeight="1">
      <c r="E12" s="129"/>
      <c r="F12" s="130"/>
      <c r="G12" s="130"/>
      <c r="H12" s="130"/>
      <c r="I12" s="130"/>
      <c r="J12" s="130"/>
    </row>
    <row r="18" ht="14.25">
      <c r="P18" s="131"/>
    </row>
    <row r="19" ht="14.25">
      <c r="P19" s="131"/>
    </row>
    <row r="20" ht="14.25">
      <c r="P20" s="131"/>
    </row>
    <row r="21" ht="14.25">
      <c r="P21" s="131"/>
    </row>
    <row r="22" ht="14.25">
      <c r="P22" s="131"/>
    </row>
    <row r="23" ht="14.25">
      <c r="P23" s="13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22"/>
  <sheetViews>
    <sheetView zoomScale="90" zoomScaleNormal="90" zoomScaleSheetLayoutView="106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Z6" sqref="Z6"/>
    </sheetView>
  </sheetViews>
  <sheetFormatPr defaultColWidth="9.140625" defaultRowHeight="12.75"/>
  <cols>
    <col min="1" max="1" width="4.8515625" style="0" customWidth="1"/>
    <col min="2" max="2" width="21.140625" style="0" customWidth="1"/>
    <col min="3" max="3" width="12.421875" style="0" hidden="1" customWidth="1"/>
    <col min="4" max="4" width="15.00390625" style="0" hidden="1" customWidth="1"/>
    <col min="5" max="5" width="11.28125" style="0" customWidth="1"/>
    <col min="6" max="6" width="13.8515625" style="0" customWidth="1"/>
    <col min="7" max="7" width="9.00390625" style="0" hidden="1" customWidth="1"/>
    <col min="8" max="8" width="11.00390625" style="0" hidden="1" customWidth="1"/>
    <col min="9" max="9" width="12.140625" style="0" hidden="1" customWidth="1"/>
    <col min="10" max="10" width="15.28125" style="0" hidden="1" customWidth="1"/>
    <col min="11" max="11" width="11.140625" style="0" hidden="1" customWidth="1"/>
    <col min="12" max="12" width="10.28125" style="0" hidden="1" customWidth="1"/>
    <col min="13" max="13" width="14.140625" style="0" customWidth="1"/>
    <col min="14" max="14" width="14.421875" style="0" customWidth="1"/>
    <col min="15" max="15" width="14.00390625" style="0" customWidth="1"/>
    <col min="16" max="16" width="14.140625" style="0" customWidth="1"/>
    <col min="17" max="17" width="11.421875" style="0" hidden="1" customWidth="1"/>
    <col min="18" max="18" width="10.140625" style="0" hidden="1" customWidth="1"/>
    <col min="19" max="19" width="11.7109375" style="0" hidden="1" customWidth="1"/>
    <col min="20" max="20" width="10.00390625" style="0" hidden="1" customWidth="1"/>
    <col min="21" max="21" width="11.140625" style="0" customWidth="1"/>
    <col min="22" max="22" width="10.28125" style="0" customWidth="1"/>
    <col min="23" max="23" width="21.140625" style="0" customWidth="1"/>
    <col min="24" max="24" width="23.7109375" style="0" customWidth="1"/>
    <col min="30" max="30" width="17.57421875" style="0" customWidth="1"/>
  </cols>
  <sheetData>
    <row r="1" ht="12.75">
      <c r="X1" s="18"/>
    </row>
    <row r="3" spans="1:24" ht="15.75">
      <c r="A3" s="417" t="s">
        <v>36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/>
      <c r="V3" s="417"/>
      <c r="W3" s="417"/>
      <c r="X3" s="417"/>
    </row>
    <row r="4" spans="1:24" ht="24" customHeight="1" thickBot="1">
      <c r="A4" s="418" t="s">
        <v>157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</row>
    <row r="5" spans="1:24" s="112" customFormat="1" ht="30" customHeight="1">
      <c r="A5" s="419" t="s">
        <v>28</v>
      </c>
      <c r="B5" s="421" t="s">
        <v>29</v>
      </c>
      <c r="C5" s="414" t="s">
        <v>76</v>
      </c>
      <c r="D5" s="416"/>
      <c r="E5" s="414" t="s">
        <v>144</v>
      </c>
      <c r="F5" s="416"/>
      <c r="G5" s="414" t="s">
        <v>145</v>
      </c>
      <c r="H5" s="416"/>
      <c r="I5" s="414" t="s">
        <v>77</v>
      </c>
      <c r="J5" s="416"/>
      <c r="K5" s="414" t="s">
        <v>151</v>
      </c>
      <c r="L5" s="415"/>
      <c r="M5" s="414" t="s">
        <v>146</v>
      </c>
      <c r="N5" s="416"/>
      <c r="O5" s="414" t="s">
        <v>159</v>
      </c>
      <c r="P5" s="416"/>
      <c r="Q5" s="423" t="s">
        <v>147</v>
      </c>
      <c r="R5" s="424"/>
      <c r="S5" s="423" t="s">
        <v>152</v>
      </c>
      <c r="T5" s="424"/>
      <c r="U5" s="414" t="s">
        <v>153</v>
      </c>
      <c r="V5" s="416"/>
      <c r="W5" s="419" t="s">
        <v>125</v>
      </c>
      <c r="X5" s="114" t="s">
        <v>158</v>
      </c>
    </row>
    <row r="6" spans="1:24" ht="130.5" customHeight="1" thickBot="1">
      <c r="A6" s="420"/>
      <c r="B6" s="422"/>
      <c r="C6" s="309" t="s">
        <v>34</v>
      </c>
      <c r="D6" s="33" t="s">
        <v>35</v>
      </c>
      <c r="E6" s="32" t="s">
        <v>34</v>
      </c>
      <c r="F6" s="33" t="s">
        <v>35</v>
      </c>
      <c r="G6" s="32" t="s">
        <v>34</v>
      </c>
      <c r="H6" s="33" t="s">
        <v>35</v>
      </c>
      <c r="I6" s="32" t="s">
        <v>34</v>
      </c>
      <c r="J6" s="33" t="s">
        <v>35</v>
      </c>
      <c r="K6" s="30" t="s">
        <v>34</v>
      </c>
      <c r="L6" s="31" t="s">
        <v>35</v>
      </c>
      <c r="M6" s="309" t="s">
        <v>34</v>
      </c>
      <c r="N6" s="310" t="s">
        <v>35</v>
      </c>
      <c r="O6" s="333" t="s">
        <v>34</v>
      </c>
      <c r="P6" s="334" t="s">
        <v>35</v>
      </c>
      <c r="Q6" s="265" t="s">
        <v>34</v>
      </c>
      <c r="R6" s="266" t="s">
        <v>35</v>
      </c>
      <c r="S6" s="265" t="s">
        <v>34</v>
      </c>
      <c r="T6" s="266" t="s">
        <v>35</v>
      </c>
      <c r="U6" s="32" t="s">
        <v>34</v>
      </c>
      <c r="V6" s="33" t="s">
        <v>35</v>
      </c>
      <c r="W6" s="420"/>
      <c r="X6" s="33" t="s">
        <v>124</v>
      </c>
    </row>
    <row r="7" spans="1:30" ht="24.75" customHeight="1">
      <c r="A7" s="9">
        <v>1</v>
      </c>
      <c r="B7" s="26" t="s">
        <v>24</v>
      </c>
      <c r="C7" s="308">
        <v>7120.350000000001</v>
      </c>
      <c r="D7" s="118">
        <f>C7/$M$15*100</f>
        <v>11.385910628193137</v>
      </c>
      <c r="E7" s="22">
        <v>7127.58</v>
      </c>
      <c r="F7" s="21">
        <f aca="true" t="shared" si="0" ref="F7:F15">E7/E$15*100</f>
        <v>12.655603133263115</v>
      </c>
      <c r="G7" s="137">
        <v>6804.18</v>
      </c>
      <c r="H7" s="21">
        <f>G7/G$15*100</f>
        <v>11.653936567883155</v>
      </c>
      <c r="I7" s="117">
        <v>7564.32</v>
      </c>
      <c r="J7" s="118">
        <f aca="true" t="shared" si="1" ref="J7:J15">I7/I$15*100</f>
        <v>12.49262802626644</v>
      </c>
      <c r="K7" s="132">
        <f>E7+C7+G7+I7</f>
        <v>28616.43</v>
      </c>
      <c r="L7" s="133">
        <f aca="true" t="shared" si="2" ref="L7:L15">K7/$K$15*100</f>
        <v>12.307286512903017</v>
      </c>
      <c r="M7" s="117">
        <v>7214.46</v>
      </c>
      <c r="N7" s="118">
        <f>M7/$M$15*100</f>
        <v>11.53639874313401</v>
      </c>
      <c r="O7" s="22">
        <v>7119.44</v>
      </c>
      <c r="P7" s="21">
        <f aca="true" t="shared" si="3" ref="P7:P15">O7/O$15*100</f>
        <v>11.450409794473101</v>
      </c>
      <c r="Q7" s="137"/>
      <c r="R7" s="21" t="e">
        <f>Q7/Q$15*100</f>
        <v>#DIV/0!</v>
      </c>
      <c r="S7" s="117"/>
      <c r="T7" s="118" t="e">
        <f aca="true" t="shared" si="4" ref="T7:T15">S7/S$15*100</f>
        <v>#DIV/0!</v>
      </c>
      <c r="U7" s="117">
        <f>O7+M7+Q7+S7</f>
        <v>14333.9</v>
      </c>
      <c r="V7" s="118">
        <f>U7/$U$15*100</f>
        <v>11.493528450450029</v>
      </c>
      <c r="W7" s="29">
        <f>(O7-M7)/M7*100</f>
        <v>-1.3170770923950017</v>
      </c>
      <c r="X7" s="21">
        <f>(O7-E7)/E7*100</f>
        <v>-0.1142042600714454</v>
      </c>
      <c r="Z7" s="116"/>
      <c r="AD7" s="23"/>
    </row>
    <row r="8" spans="1:30" ht="24.75" customHeight="1">
      <c r="A8" s="5">
        <v>2</v>
      </c>
      <c r="B8" s="27" t="s">
        <v>22</v>
      </c>
      <c r="C8" s="119">
        <v>16444.680000000004</v>
      </c>
      <c r="D8" s="120">
        <f aca="true" t="shared" si="5" ref="D8:D15">C8/$M$15*100</f>
        <v>26.29613105946128</v>
      </c>
      <c r="E8" s="20">
        <v>15156.320000000002</v>
      </c>
      <c r="F8" s="7">
        <f t="shared" si="0"/>
        <v>26.911289789906036</v>
      </c>
      <c r="G8" s="119">
        <v>16862.08</v>
      </c>
      <c r="H8" s="120">
        <f aca="true" t="shared" si="6" ref="H8:H15">G8/G$15*100</f>
        <v>28.880719017217537</v>
      </c>
      <c r="I8" s="119">
        <v>17226.71</v>
      </c>
      <c r="J8" s="120">
        <f t="shared" si="1"/>
        <v>28.450261245738456</v>
      </c>
      <c r="K8" s="132">
        <f aca="true" t="shared" si="7" ref="K8:K14">E8+C8+G8+I8</f>
        <v>65689.79000000001</v>
      </c>
      <c r="L8" s="134">
        <f t="shared" si="2"/>
        <v>28.251709472580316</v>
      </c>
      <c r="M8" s="119">
        <v>18129.08</v>
      </c>
      <c r="N8" s="120">
        <f aca="true" t="shared" si="8" ref="N8:N15">M8/$M$15*100</f>
        <v>28.989598074724366</v>
      </c>
      <c r="O8" s="20">
        <v>17816.9</v>
      </c>
      <c r="P8" s="7">
        <f t="shared" si="3"/>
        <v>28.655456927391455</v>
      </c>
      <c r="Q8" s="119"/>
      <c r="R8" s="120" t="e">
        <f aca="true" t="shared" si="9" ref="R8:R15">Q8/Q$15*100</f>
        <v>#DIV/0!</v>
      </c>
      <c r="S8" s="119"/>
      <c r="T8" s="120" t="e">
        <f t="shared" si="4"/>
        <v>#DIV/0!</v>
      </c>
      <c r="U8" s="117">
        <f aca="true" t="shared" si="10" ref="U8:U14">O8+M8+Q8+S8</f>
        <v>35945.98</v>
      </c>
      <c r="V8" s="120">
        <f aca="true" t="shared" si="11" ref="V8:V15">U8/$U$15*100</f>
        <v>28.823010053740276</v>
      </c>
      <c r="W8" s="29">
        <f aca="true" t="shared" si="12" ref="W8:W15">(O8-M8)/M8*100</f>
        <v>-1.7219847890792044</v>
      </c>
      <c r="X8" s="21">
        <f aca="true" t="shared" si="13" ref="X8:X15">(O8-E8)/E8*100</f>
        <v>17.55426119269057</v>
      </c>
      <c r="AD8" s="23"/>
    </row>
    <row r="9" spans="1:30" ht="24.75" customHeight="1">
      <c r="A9" s="5">
        <v>3</v>
      </c>
      <c r="B9" s="27" t="s">
        <v>30</v>
      </c>
      <c r="C9" s="119">
        <v>4328.36</v>
      </c>
      <c r="D9" s="120">
        <f t="shared" si="5"/>
        <v>6.921333940978467</v>
      </c>
      <c r="E9" s="20">
        <v>4397.1</v>
      </c>
      <c r="F9" s="7">
        <f t="shared" si="0"/>
        <v>7.807411847677788</v>
      </c>
      <c r="G9" s="119">
        <v>4262.68</v>
      </c>
      <c r="H9" s="120">
        <f t="shared" si="6"/>
        <v>7.300953579885332</v>
      </c>
      <c r="I9" s="119">
        <v>4027.79</v>
      </c>
      <c r="J9" s="120">
        <f t="shared" si="1"/>
        <v>6.651976944116021</v>
      </c>
      <c r="K9" s="132">
        <f t="shared" si="7"/>
        <v>17015.93</v>
      </c>
      <c r="L9" s="134">
        <f t="shared" si="2"/>
        <v>7.31817091766869</v>
      </c>
      <c r="M9" s="119">
        <v>4134.79</v>
      </c>
      <c r="N9" s="120">
        <f t="shared" si="8"/>
        <v>6.611802707218985</v>
      </c>
      <c r="O9" s="20">
        <v>4051.31</v>
      </c>
      <c r="P9" s="7">
        <f t="shared" si="3"/>
        <v>6.515843901268474</v>
      </c>
      <c r="Q9" s="119"/>
      <c r="R9" s="120" t="e">
        <f t="shared" si="9"/>
        <v>#DIV/0!</v>
      </c>
      <c r="S9" s="119"/>
      <c r="T9" s="120" t="e">
        <f t="shared" si="4"/>
        <v>#DIV/0!</v>
      </c>
      <c r="U9" s="117">
        <f t="shared" si="10"/>
        <v>8186.1</v>
      </c>
      <c r="V9" s="120">
        <f t="shared" si="11"/>
        <v>6.563961883941495</v>
      </c>
      <c r="W9" s="29">
        <f t="shared" si="12"/>
        <v>-2.018965896696084</v>
      </c>
      <c r="X9" s="21">
        <f t="shared" si="13"/>
        <v>-7.864046758090569</v>
      </c>
      <c r="AD9" s="23"/>
    </row>
    <row r="10" spans="1:30" ht="24.75" customHeight="1">
      <c r="A10" s="5">
        <v>4</v>
      </c>
      <c r="B10" s="27" t="s">
        <v>31</v>
      </c>
      <c r="C10" s="119">
        <v>11325.500000000002</v>
      </c>
      <c r="D10" s="120">
        <f t="shared" si="5"/>
        <v>18.110223629400434</v>
      </c>
      <c r="E10" s="20">
        <v>11052.32</v>
      </c>
      <c r="F10" s="7">
        <f t="shared" si="0"/>
        <v>19.62430104212462</v>
      </c>
      <c r="G10" s="119">
        <v>11453.54</v>
      </c>
      <c r="H10" s="120">
        <f t="shared" si="6"/>
        <v>19.617180709168842</v>
      </c>
      <c r="I10" s="119">
        <v>12009.05</v>
      </c>
      <c r="J10" s="120">
        <f t="shared" si="1"/>
        <v>19.83318984374471</v>
      </c>
      <c r="K10" s="132">
        <f t="shared" si="7"/>
        <v>45840.41</v>
      </c>
      <c r="L10" s="134">
        <f>K10/$K$15*100</f>
        <v>19.71493508236159</v>
      </c>
      <c r="M10" s="119">
        <v>12352</v>
      </c>
      <c r="N10" s="120">
        <f t="shared" si="8"/>
        <v>19.75166502762387</v>
      </c>
      <c r="O10" s="20">
        <v>12379.48</v>
      </c>
      <c r="P10" s="7">
        <f t="shared" si="3"/>
        <v>19.910290562527933</v>
      </c>
      <c r="Q10" s="119"/>
      <c r="R10" s="120" t="e">
        <f t="shared" si="9"/>
        <v>#DIV/0!</v>
      </c>
      <c r="S10" s="119"/>
      <c r="T10" s="120" t="e">
        <f t="shared" si="4"/>
        <v>#DIV/0!</v>
      </c>
      <c r="U10" s="117">
        <f t="shared" si="10"/>
        <v>24731.48</v>
      </c>
      <c r="V10" s="120">
        <f t="shared" si="11"/>
        <v>19.830748714706807</v>
      </c>
      <c r="W10" s="29">
        <f t="shared" si="12"/>
        <v>0.22247409326424517</v>
      </c>
      <c r="X10" s="21">
        <f t="shared" si="13"/>
        <v>12.007976605816696</v>
      </c>
      <c r="AD10" s="23"/>
    </row>
    <row r="11" spans="1:30" ht="24.75" customHeight="1">
      <c r="A11" s="5">
        <v>5</v>
      </c>
      <c r="B11" s="27" t="s">
        <v>32</v>
      </c>
      <c r="C11" s="119">
        <v>4519.2300000000005</v>
      </c>
      <c r="D11" s="120">
        <f t="shared" si="5"/>
        <v>7.2265476961454524</v>
      </c>
      <c r="E11" s="20">
        <v>4591.640000000001</v>
      </c>
      <c r="F11" s="7">
        <f t="shared" si="0"/>
        <v>8.152833580375987</v>
      </c>
      <c r="G11" s="119">
        <v>4549.61</v>
      </c>
      <c r="H11" s="120">
        <f t="shared" si="6"/>
        <v>7.792396195957026</v>
      </c>
      <c r="I11" s="119">
        <v>4339.5</v>
      </c>
      <c r="J11" s="120">
        <f t="shared" si="1"/>
        <v>7.16677233644045</v>
      </c>
      <c r="K11" s="132">
        <f t="shared" si="7"/>
        <v>17999.980000000003</v>
      </c>
      <c r="L11" s="134">
        <f>K11/$K$15*100</f>
        <v>7.741388813577518</v>
      </c>
      <c r="M11" s="119">
        <v>4693.77</v>
      </c>
      <c r="N11" s="120">
        <f t="shared" si="8"/>
        <v>7.505648701158524</v>
      </c>
      <c r="O11" s="20">
        <v>4738.34</v>
      </c>
      <c r="P11" s="7">
        <f t="shared" si="3"/>
        <v>7.620814944088816</v>
      </c>
      <c r="Q11" s="119"/>
      <c r="R11" s="120" t="e">
        <f t="shared" si="9"/>
        <v>#DIV/0!</v>
      </c>
      <c r="S11" s="119"/>
      <c r="T11" s="120" t="e">
        <f t="shared" si="4"/>
        <v>#DIV/0!</v>
      </c>
      <c r="U11" s="117">
        <f t="shared" si="10"/>
        <v>9432.11</v>
      </c>
      <c r="V11" s="120">
        <f t="shared" si="11"/>
        <v>7.563065504348031</v>
      </c>
      <c r="W11" s="29">
        <f>(O11-M11)/M11*100</f>
        <v>0.9495565398389718</v>
      </c>
      <c r="X11" s="21">
        <f t="shared" si="13"/>
        <v>3.1949368852958613</v>
      </c>
      <c r="AD11" s="23"/>
    </row>
    <row r="12" spans="1:30" ht="24.75" customHeight="1">
      <c r="A12" s="5">
        <v>6</v>
      </c>
      <c r="B12" s="27" t="s">
        <v>25</v>
      </c>
      <c r="C12" s="119">
        <v>7618.05</v>
      </c>
      <c r="D12" s="120">
        <f t="shared" si="5"/>
        <v>12.181765848744334</v>
      </c>
      <c r="E12" s="20">
        <v>7395.45</v>
      </c>
      <c r="F12" s="7">
        <f t="shared" si="0"/>
        <v>13.13122829794835</v>
      </c>
      <c r="G12" s="119">
        <v>7727.37</v>
      </c>
      <c r="H12" s="120">
        <f t="shared" si="6"/>
        <v>13.235140724754968</v>
      </c>
      <c r="I12" s="119">
        <v>8207.82</v>
      </c>
      <c r="J12" s="120">
        <f t="shared" si="1"/>
        <v>13.555381338514264</v>
      </c>
      <c r="K12" s="132">
        <f t="shared" si="7"/>
        <v>30948.69</v>
      </c>
      <c r="L12" s="134">
        <f t="shared" si="2"/>
        <v>13.310339375981437</v>
      </c>
      <c r="M12" s="119">
        <v>8843.27</v>
      </c>
      <c r="N12" s="120">
        <f t="shared" si="8"/>
        <v>14.140973671375917</v>
      </c>
      <c r="O12" s="20">
        <v>8862.64</v>
      </c>
      <c r="P12" s="7">
        <f t="shared" si="3"/>
        <v>14.254050860866737</v>
      </c>
      <c r="Q12" s="119"/>
      <c r="R12" s="120" t="e">
        <f t="shared" si="9"/>
        <v>#DIV/0!</v>
      </c>
      <c r="S12" s="119"/>
      <c r="T12" s="120" t="e">
        <f t="shared" si="4"/>
        <v>#DIV/0!</v>
      </c>
      <c r="U12" s="117">
        <f t="shared" si="10"/>
        <v>17705.91</v>
      </c>
      <c r="V12" s="120">
        <f t="shared" si="11"/>
        <v>14.197348964769372</v>
      </c>
      <c r="W12" s="29">
        <f t="shared" si="12"/>
        <v>0.21903662333049856</v>
      </c>
      <c r="X12" s="21">
        <f>(O12-E12)/E12*100</f>
        <v>19.83909025143838</v>
      </c>
      <c r="AD12" s="23"/>
    </row>
    <row r="13" spans="1:30" ht="24.75" customHeight="1">
      <c r="A13" s="5">
        <v>7</v>
      </c>
      <c r="B13" s="27" t="s">
        <v>33</v>
      </c>
      <c r="C13" s="119">
        <v>2599.4900000000002</v>
      </c>
      <c r="D13" s="120">
        <f t="shared" si="5"/>
        <v>4.15675645423073</v>
      </c>
      <c r="E13" s="20">
        <v>2820.2499999999995</v>
      </c>
      <c r="F13" s="7">
        <f t="shared" si="0"/>
        <v>5.007585286532778</v>
      </c>
      <c r="G13" s="119">
        <v>2832.63</v>
      </c>
      <c r="H13" s="120">
        <f t="shared" si="6"/>
        <v>4.85161920176757</v>
      </c>
      <c r="I13" s="119">
        <v>3007.49</v>
      </c>
      <c r="J13" s="120">
        <f t="shared" si="1"/>
        <v>4.9669307832979115</v>
      </c>
      <c r="K13" s="132">
        <f t="shared" si="7"/>
        <v>11259.859999999999</v>
      </c>
      <c r="L13" s="134">
        <f t="shared" si="2"/>
        <v>4.842613949929329</v>
      </c>
      <c r="M13" s="119">
        <v>2962.78</v>
      </c>
      <c r="N13" s="120">
        <f t="shared" si="8"/>
        <v>4.737681194182597</v>
      </c>
      <c r="O13" s="20">
        <v>2905.5</v>
      </c>
      <c r="P13" s="7">
        <f t="shared" si="3"/>
        <v>4.673003165676177</v>
      </c>
      <c r="Q13" s="119"/>
      <c r="R13" s="120" t="e">
        <f t="shared" si="9"/>
        <v>#DIV/0!</v>
      </c>
      <c r="S13" s="119"/>
      <c r="T13" s="120" t="e">
        <f t="shared" si="4"/>
        <v>#DIV/0!</v>
      </c>
      <c r="U13" s="117">
        <f t="shared" si="10"/>
        <v>5868.280000000001</v>
      </c>
      <c r="V13" s="120">
        <f t="shared" si="11"/>
        <v>4.705435585235484</v>
      </c>
      <c r="W13" s="29">
        <f t="shared" si="12"/>
        <v>-1.9333193824718744</v>
      </c>
      <c r="X13" s="21">
        <f t="shared" si="13"/>
        <v>3.022781668291835</v>
      </c>
      <c r="AD13" s="23"/>
    </row>
    <row r="14" spans="1:30" ht="24.75" customHeight="1">
      <c r="A14" s="5">
        <v>8</v>
      </c>
      <c r="B14" s="27" t="s">
        <v>26</v>
      </c>
      <c r="C14" s="119">
        <v>3305.42</v>
      </c>
      <c r="D14" s="120">
        <f t="shared" si="5"/>
        <v>5.285585218232552</v>
      </c>
      <c r="E14" s="20">
        <v>3778.9000000000005</v>
      </c>
      <c r="F14" s="7">
        <f t="shared" si="0"/>
        <v>6.709747022171339</v>
      </c>
      <c r="G14" s="119">
        <f>58385.25-(G7+G8+G9+G10+G11+G12+G13)</f>
        <v>3893.159999999996</v>
      </c>
      <c r="H14" s="120">
        <f t="shared" si="6"/>
        <v>6.66805400336557</v>
      </c>
      <c r="I14" s="119">
        <f>60550.27-(I7+I8+I9+I10+I11+I12+I13)</f>
        <v>4167.590000000004</v>
      </c>
      <c r="J14" s="120">
        <f t="shared" si="1"/>
        <v>6.882859481881755</v>
      </c>
      <c r="K14" s="132">
        <f t="shared" si="7"/>
        <v>15145.07</v>
      </c>
      <c r="L14" s="134">
        <f t="shared" si="2"/>
        <v>6.513555874998107</v>
      </c>
      <c r="M14" s="119">
        <f>62536.5-(M7+M8+M9+M10+M11+M12+M13)</f>
        <v>4206.349999999991</v>
      </c>
      <c r="N14" s="120">
        <f t="shared" si="8"/>
        <v>6.726231880581726</v>
      </c>
      <c r="O14" s="119">
        <f>62176.29-(O7+O8+O9+O10+O11+O12+O13)</f>
        <v>4302.68</v>
      </c>
      <c r="P14" s="7">
        <f t="shared" si="3"/>
        <v>6.920129843707304</v>
      </c>
      <c r="Q14" s="119"/>
      <c r="R14" s="120" t="e">
        <f t="shared" si="9"/>
        <v>#DIV/0!</v>
      </c>
      <c r="S14" s="119"/>
      <c r="T14" s="120" t="e">
        <f t="shared" si="4"/>
        <v>#DIV/0!</v>
      </c>
      <c r="U14" s="117">
        <f t="shared" si="10"/>
        <v>8509.029999999992</v>
      </c>
      <c r="V14" s="120">
        <f t="shared" si="11"/>
        <v>6.8229008428084965</v>
      </c>
      <c r="W14" s="29">
        <f t="shared" si="12"/>
        <v>2.2901090018664454</v>
      </c>
      <c r="X14" s="21">
        <f t="shared" si="13"/>
        <v>13.860647278308495</v>
      </c>
      <c r="AD14" s="23"/>
    </row>
    <row r="15" spans="1:26" ht="24.75" customHeight="1" thickBot="1">
      <c r="A15" s="6"/>
      <c r="B15" s="28" t="s">
        <v>0</v>
      </c>
      <c r="C15" s="121">
        <f>SUM(C7:C14)</f>
        <v>57261.08000000001</v>
      </c>
      <c r="D15" s="122">
        <f t="shared" si="5"/>
        <v>91.56425447538639</v>
      </c>
      <c r="E15" s="19">
        <f>SUM(E7:E14)</f>
        <v>56319.56</v>
      </c>
      <c r="F15" s="8">
        <f t="shared" si="0"/>
        <v>100</v>
      </c>
      <c r="G15" s="19">
        <f>SUM(G7:G14)</f>
        <v>58385.25</v>
      </c>
      <c r="H15" s="8">
        <f t="shared" si="6"/>
        <v>100</v>
      </c>
      <c r="I15" s="121">
        <f>SUM(I7:I14)</f>
        <v>60550.27</v>
      </c>
      <c r="J15" s="122">
        <f t="shared" si="1"/>
        <v>100</v>
      </c>
      <c r="K15" s="138">
        <f>SUM(K7:K14)</f>
        <v>232516.16</v>
      </c>
      <c r="L15" s="8">
        <f t="shared" si="2"/>
        <v>100</v>
      </c>
      <c r="M15" s="121">
        <f>SUM(M7:M14)</f>
        <v>62536.5</v>
      </c>
      <c r="N15" s="122">
        <f t="shared" si="8"/>
        <v>100</v>
      </c>
      <c r="O15" s="19">
        <f>SUM(O7:O14)</f>
        <v>62176.29</v>
      </c>
      <c r="P15" s="8">
        <f t="shared" si="3"/>
        <v>100</v>
      </c>
      <c r="Q15" s="19">
        <f>SUM(Q7:Q14)</f>
        <v>0</v>
      </c>
      <c r="R15" s="8" t="e">
        <f t="shared" si="9"/>
        <v>#DIV/0!</v>
      </c>
      <c r="S15" s="121">
        <f>SUM(S7:S14)</f>
        <v>0</v>
      </c>
      <c r="T15" s="122" t="e">
        <f t="shared" si="4"/>
        <v>#DIV/0!</v>
      </c>
      <c r="U15" s="19">
        <f>SUM(U7:U14)</f>
        <v>124712.79000000001</v>
      </c>
      <c r="V15" s="8">
        <f t="shared" si="11"/>
        <v>100</v>
      </c>
      <c r="W15" s="29">
        <f t="shared" si="12"/>
        <v>-0.5759996162241237</v>
      </c>
      <c r="X15" s="21">
        <f t="shared" si="13"/>
        <v>10.399104680505323</v>
      </c>
      <c r="Z15" s="116"/>
    </row>
    <row r="16" ht="6.75" customHeight="1"/>
    <row r="17" spans="1:26" ht="15">
      <c r="A17" s="3" t="s">
        <v>44</v>
      </c>
      <c r="B17" s="25" t="s">
        <v>160</v>
      </c>
      <c r="K17" s="139"/>
      <c r="Q17" s="113"/>
      <c r="R17" s="113"/>
      <c r="Z17" s="116"/>
    </row>
    <row r="19" spans="1:24" ht="12.75">
      <c r="A19" s="10"/>
      <c r="S19" s="24"/>
      <c r="X19" s="116"/>
    </row>
    <row r="20" spans="1:2" ht="15">
      <c r="A20" s="11"/>
      <c r="B20" s="12"/>
    </row>
    <row r="21" spans="1:2" ht="17.25" customHeight="1">
      <c r="A21" s="14"/>
      <c r="B21" s="13"/>
    </row>
    <row r="22" spans="1:24" ht="12.75">
      <c r="A22" s="15"/>
      <c r="B22" s="10"/>
      <c r="X22" s="116"/>
    </row>
  </sheetData>
  <sheetProtection/>
  <mergeCells count="15">
    <mergeCell ref="S5:T5"/>
    <mergeCell ref="E5:F5"/>
    <mergeCell ref="W5:W6"/>
    <mergeCell ref="Q5:R5"/>
    <mergeCell ref="C5:D5"/>
    <mergeCell ref="K5:L5"/>
    <mergeCell ref="O5:P5"/>
    <mergeCell ref="U5:V5"/>
    <mergeCell ref="G5:H5"/>
    <mergeCell ref="I5:J5"/>
    <mergeCell ref="A3:X3"/>
    <mergeCell ref="A4:X4"/>
    <mergeCell ref="A5:A6"/>
    <mergeCell ref="B5:B6"/>
    <mergeCell ref="M5:N5"/>
  </mergeCells>
  <printOptions horizontalCentered="1"/>
  <pageMargins left="0.1968503937007874" right="0" top="0.7480314960629921" bottom="0.7480314960629921" header="0.31496062992125984" footer="0.31496062992125984"/>
  <pageSetup horizontalDpi="600" verticalDpi="600" orientation="landscape" paperSize="9" scale="75" r:id="rId1"/>
  <headerFooter alignWithMargins="0">
    <oddFooter>&amp;C&amp;12Page 1 of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P45"/>
  <sheetViews>
    <sheetView view="pageBreakPreview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" sqref="A6"/>
    </sheetView>
  </sheetViews>
  <sheetFormatPr defaultColWidth="9.140625" defaultRowHeight="12.75"/>
  <cols>
    <col min="1" max="1" width="7.140625" style="3" customWidth="1"/>
    <col min="2" max="2" width="17.00390625" style="3" customWidth="1"/>
    <col min="3" max="3" width="13.140625" style="3" customWidth="1"/>
    <col min="4" max="4" width="9.7109375" style="3" hidden="1" customWidth="1"/>
    <col min="5" max="5" width="9.421875" style="3" hidden="1" customWidth="1"/>
    <col min="6" max="6" width="10.140625" style="3" hidden="1" customWidth="1"/>
    <col min="7" max="7" width="10.00390625" style="3" hidden="1" customWidth="1"/>
    <col min="8" max="8" width="16.7109375" style="3" customWidth="1"/>
    <col min="9" max="10" width="8.140625" style="3" hidden="1" customWidth="1"/>
    <col min="11" max="11" width="9.8515625" style="3" hidden="1" customWidth="1"/>
    <col min="12" max="12" width="9.7109375" style="3" hidden="1" customWidth="1"/>
    <col min="13" max="13" width="12.8515625" style="3" customWidth="1"/>
    <col min="14" max="14" width="15.140625" style="3" customWidth="1"/>
    <col min="15" max="15" width="14.00390625" style="3" customWidth="1"/>
    <col min="16" max="16" width="9.00390625" style="3" hidden="1" customWidth="1"/>
    <col min="17" max="17" width="8.57421875" style="3" hidden="1" customWidth="1"/>
    <col min="18" max="18" width="8.8515625" style="3" hidden="1" customWidth="1"/>
    <col min="19" max="19" width="9.421875" style="3" hidden="1" customWidth="1"/>
    <col min="20" max="20" width="16.140625" style="3" customWidth="1"/>
    <col min="21" max="21" width="8.8515625" style="3" hidden="1" customWidth="1"/>
    <col min="22" max="22" width="9.00390625" style="3" hidden="1" customWidth="1"/>
    <col min="23" max="23" width="10.28125" style="3" hidden="1" customWidth="1"/>
    <col min="24" max="24" width="11.7109375" style="3" hidden="1" customWidth="1"/>
    <col min="25" max="25" width="12.57421875" style="3" customWidth="1"/>
    <col min="26" max="26" width="14.28125" style="3" customWidth="1"/>
    <col min="27" max="27" width="14.421875" style="3" customWidth="1"/>
    <col min="28" max="28" width="15.00390625" style="3" customWidth="1"/>
    <col min="29" max="29" width="13.57421875" style="3" customWidth="1"/>
    <col min="30" max="30" width="4.00390625" style="3" hidden="1" customWidth="1"/>
    <col min="31" max="31" width="18.57421875" style="3" customWidth="1"/>
    <col min="32" max="16384" width="9.140625" style="3" customWidth="1"/>
  </cols>
  <sheetData>
    <row r="1" spans="30:31" ht="15">
      <c r="AD1" s="447" t="s">
        <v>43</v>
      </c>
      <c r="AE1" s="447"/>
    </row>
    <row r="2" spans="1:42" ht="29.25" customHeight="1" thickBot="1">
      <c r="A2" s="448" t="s">
        <v>156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</row>
    <row r="3" spans="1:31" s="16" customFormat="1" ht="36" customHeight="1">
      <c r="A3" s="449" t="s">
        <v>51</v>
      </c>
      <c r="B3" s="452" t="s">
        <v>41</v>
      </c>
      <c r="C3" s="431" t="s">
        <v>166</v>
      </c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45"/>
      <c r="O3" s="431" t="s">
        <v>164</v>
      </c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45"/>
      <c r="AA3" s="431" t="s">
        <v>69</v>
      </c>
      <c r="AB3" s="432"/>
      <c r="AC3" s="432"/>
      <c r="AD3" s="433"/>
      <c r="AE3" s="455" t="s">
        <v>50</v>
      </c>
    </row>
    <row r="4" spans="1:31" s="16" customFormat="1" ht="30.75" customHeight="1">
      <c r="A4" s="450"/>
      <c r="B4" s="453"/>
      <c r="C4" s="436" t="s">
        <v>46</v>
      </c>
      <c r="D4" s="427" t="s">
        <v>42</v>
      </c>
      <c r="E4" s="428"/>
      <c r="F4" s="428"/>
      <c r="G4" s="428"/>
      <c r="H4" s="429"/>
      <c r="I4" s="441" t="s">
        <v>24</v>
      </c>
      <c r="J4" s="442"/>
      <c r="K4" s="442"/>
      <c r="L4" s="442"/>
      <c r="M4" s="442"/>
      <c r="N4" s="443"/>
      <c r="O4" s="436" t="s">
        <v>38</v>
      </c>
      <c r="P4" s="430" t="s">
        <v>42</v>
      </c>
      <c r="Q4" s="430"/>
      <c r="R4" s="430"/>
      <c r="S4" s="430"/>
      <c r="T4" s="430"/>
      <c r="U4" s="430" t="s">
        <v>24</v>
      </c>
      <c r="V4" s="430"/>
      <c r="W4" s="430"/>
      <c r="X4" s="430"/>
      <c r="Y4" s="430"/>
      <c r="Z4" s="430"/>
      <c r="AA4" s="444" t="s">
        <v>38</v>
      </c>
      <c r="AB4" s="441" t="s">
        <v>39</v>
      </c>
      <c r="AC4" s="442"/>
      <c r="AD4" s="446"/>
      <c r="AE4" s="456"/>
    </row>
    <row r="5" spans="1:31" s="16" customFormat="1" ht="37.5" customHeight="1" thickBot="1">
      <c r="A5" s="451"/>
      <c r="B5" s="454"/>
      <c r="C5" s="438"/>
      <c r="D5" s="59">
        <v>41426</v>
      </c>
      <c r="E5" s="59">
        <v>41518</v>
      </c>
      <c r="F5" s="59">
        <v>41609</v>
      </c>
      <c r="G5" s="59">
        <v>41729</v>
      </c>
      <c r="H5" s="60" t="s">
        <v>39</v>
      </c>
      <c r="I5" s="59">
        <v>41426</v>
      </c>
      <c r="J5" s="59">
        <v>41518</v>
      </c>
      <c r="K5" s="59">
        <v>41609</v>
      </c>
      <c r="L5" s="59">
        <v>41729</v>
      </c>
      <c r="M5" s="313" t="s">
        <v>40</v>
      </c>
      <c r="N5" s="61" t="s">
        <v>37</v>
      </c>
      <c r="O5" s="437"/>
      <c r="P5" s="233">
        <v>41791</v>
      </c>
      <c r="Q5" s="233">
        <v>41883</v>
      </c>
      <c r="R5" s="233">
        <v>41974</v>
      </c>
      <c r="S5" s="233">
        <v>42074</v>
      </c>
      <c r="T5" s="341" t="s">
        <v>39</v>
      </c>
      <c r="U5" s="233">
        <v>41791</v>
      </c>
      <c r="V5" s="233">
        <v>41883</v>
      </c>
      <c r="W5" s="233">
        <v>41974</v>
      </c>
      <c r="X5" s="233">
        <v>42064</v>
      </c>
      <c r="Y5" s="342" t="s">
        <v>40</v>
      </c>
      <c r="Z5" s="343" t="s">
        <v>37</v>
      </c>
      <c r="AA5" s="438"/>
      <c r="AB5" s="135" t="s">
        <v>68</v>
      </c>
      <c r="AC5" s="60" t="s">
        <v>24</v>
      </c>
      <c r="AD5" s="62" t="s">
        <v>37</v>
      </c>
      <c r="AE5" s="457"/>
    </row>
    <row r="6" spans="1:31" ht="14.25">
      <c r="A6" s="36">
        <v>1</v>
      </c>
      <c r="B6" s="37" t="s">
        <v>2</v>
      </c>
      <c r="C6" s="42">
        <f aca="true" t="shared" si="0" ref="C6:C11">H6/$H$31*100</f>
        <v>2.056722417220002</v>
      </c>
      <c r="D6" s="176">
        <v>748.6800000000001</v>
      </c>
      <c r="E6" s="193">
        <v>735.81</v>
      </c>
      <c r="F6" s="234">
        <v>763.67</v>
      </c>
      <c r="G6" s="186">
        <v>796.32</v>
      </c>
      <c r="H6" s="40">
        <f aca="true" t="shared" si="1" ref="H6:H11">D6+E6</f>
        <v>1484.49</v>
      </c>
      <c r="I6" s="193">
        <v>98.44999999999999</v>
      </c>
      <c r="J6" s="176">
        <v>97.31</v>
      </c>
      <c r="K6" s="190">
        <v>96.32</v>
      </c>
      <c r="L6" s="271">
        <v>98.86</v>
      </c>
      <c r="M6" s="40">
        <f>I6+J6</f>
        <v>195.76</v>
      </c>
      <c r="N6" s="41">
        <f aca="true" t="shared" si="2" ref="N6:N33">M6/H6*100</f>
        <v>13.1870204582045</v>
      </c>
      <c r="O6" s="46">
        <f>T6/$T$31*100</f>
        <v>1.5679554788414405</v>
      </c>
      <c r="P6" s="178">
        <v>639.35</v>
      </c>
      <c r="Q6" s="192">
        <v>611.15</v>
      </c>
      <c r="R6" s="262"/>
      <c r="S6" s="187"/>
      <c r="T6" s="48">
        <f aca="true" t="shared" si="3" ref="T6:T11">SUM(P6:S6)</f>
        <v>1250.5</v>
      </c>
      <c r="U6" s="346">
        <v>90.5</v>
      </c>
      <c r="V6" s="391">
        <v>75.51</v>
      </c>
      <c r="W6" s="191"/>
      <c r="X6" s="347"/>
      <c r="Y6" s="48">
        <f aca="true" t="shared" si="4" ref="Y6:Y11">SUM(U6:X6)</f>
        <v>166.01</v>
      </c>
      <c r="Z6" s="49">
        <f aca="true" t="shared" si="5" ref="Z6:Z11">Y6/T6*100</f>
        <v>13.275489804078369</v>
      </c>
      <c r="AA6" s="43">
        <f aca="true" t="shared" si="6" ref="AA6:AA11">(O6-C6)/C6*100</f>
        <v>-23.76436092135419</v>
      </c>
      <c r="AB6" s="39">
        <f>(T6-H6)/H6*100</f>
        <v>-15.762315677438043</v>
      </c>
      <c r="AC6" s="39">
        <f aca="true" t="shared" si="7" ref="AC6:AC37">(Y6-M6)/M6*100</f>
        <v>-15.197180220678383</v>
      </c>
      <c r="AD6" s="44">
        <f aca="true" t="shared" si="8" ref="AD6:AD37">(Z6-N6)/N6*100</f>
        <v>0.6708819945662979</v>
      </c>
      <c r="AE6" s="41">
        <f aca="true" t="shared" si="9" ref="AE6:AE37">AB6-AC6</f>
        <v>-0.5651354567596591</v>
      </c>
    </row>
    <row r="7" spans="1:37" ht="14.25" customHeight="1">
      <c r="A7" s="36">
        <v>2</v>
      </c>
      <c r="B7" s="37" t="s">
        <v>3</v>
      </c>
      <c r="C7" s="42">
        <f t="shared" si="0"/>
        <v>5.843236932970488</v>
      </c>
      <c r="D7" s="176">
        <v>2149.9500000000003</v>
      </c>
      <c r="E7" s="193">
        <v>2067.55</v>
      </c>
      <c r="F7" s="234">
        <v>2108.3</v>
      </c>
      <c r="G7" s="186">
        <v>2045.06</v>
      </c>
      <c r="H7" s="40">
        <f t="shared" si="1"/>
        <v>4217.5</v>
      </c>
      <c r="I7" s="193">
        <v>138.68</v>
      </c>
      <c r="J7" s="176">
        <v>123.53</v>
      </c>
      <c r="K7" s="190">
        <v>128.5</v>
      </c>
      <c r="L7" s="190">
        <v>140.13</v>
      </c>
      <c r="M7" s="40">
        <f aca="true" t="shared" si="10" ref="M7:M19">I7+J7</f>
        <v>262.21000000000004</v>
      </c>
      <c r="N7" s="41">
        <f t="shared" si="2"/>
        <v>6.217190278601068</v>
      </c>
      <c r="O7" s="42">
        <f aca="true" t="shared" si="11" ref="O7:O19">T7/$T$31*100</f>
        <v>5.60535620111659</v>
      </c>
      <c r="P7" s="176">
        <v>2287.86</v>
      </c>
      <c r="Q7" s="192">
        <v>2182.61</v>
      </c>
      <c r="R7" s="234"/>
      <c r="S7" s="186"/>
      <c r="T7" s="40">
        <f t="shared" si="3"/>
        <v>4470.47</v>
      </c>
      <c r="U7" s="311">
        <v>111.53</v>
      </c>
      <c r="V7" s="192">
        <v>128.99</v>
      </c>
      <c r="W7" s="190"/>
      <c r="X7" s="190"/>
      <c r="Y7" s="40">
        <f t="shared" si="4"/>
        <v>240.52</v>
      </c>
      <c r="Z7" s="41">
        <f t="shared" si="5"/>
        <v>5.380194923576268</v>
      </c>
      <c r="AA7" s="43">
        <f t="shared" si="6"/>
        <v>-4.071043748228915</v>
      </c>
      <c r="AB7" s="39">
        <f aca="true" t="shared" si="12" ref="AB7:AB37">(T7-H7)/H7*100</f>
        <v>5.998103141671613</v>
      </c>
      <c r="AC7" s="39">
        <f t="shared" si="7"/>
        <v>-8.271995728614478</v>
      </c>
      <c r="AD7" s="44">
        <f t="shared" si="8"/>
        <v>-13.462598336513071</v>
      </c>
      <c r="AE7" s="41">
        <f t="shared" si="9"/>
        <v>14.270098870286091</v>
      </c>
      <c r="AG7" s="3">
        <v>1</v>
      </c>
      <c r="AH7" s="3">
        <v>2</v>
      </c>
      <c r="AI7" s="3">
        <v>3</v>
      </c>
      <c r="AJ7" s="3">
        <v>4</v>
      </c>
      <c r="AK7" s="3">
        <v>5</v>
      </c>
    </row>
    <row r="8" spans="1:31" ht="14.25" customHeight="1">
      <c r="A8" s="36">
        <v>3</v>
      </c>
      <c r="B8" s="37" t="s">
        <v>52</v>
      </c>
      <c r="C8" s="42">
        <f t="shared" si="0"/>
        <v>1.277767325145551</v>
      </c>
      <c r="D8" s="176">
        <v>466.49</v>
      </c>
      <c r="E8" s="193">
        <v>455.77</v>
      </c>
      <c r="F8" s="234">
        <v>474.2</v>
      </c>
      <c r="G8" s="186">
        <v>491.54</v>
      </c>
      <c r="H8" s="40">
        <f t="shared" si="1"/>
        <v>922.26</v>
      </c>
      <c r="I8" s="193">
        <v>63.260000000000005</v>
      </c>
      <c r="J8" s="176">
        <v>62.48</v>
      </c>
      <c r="K8" s="190">
        <v>63.3</v>
      </c>
      <c r="L8" s="190">
        <v>71.71</v>
      </c>
      <c r="M8" s="40">
        <f t="shared" si="10"/>
        <v>125.74000000000001</v>
      </c>
      <c r="N8" s="41">
        <f t="shared" si="2"/>
        <v>13.63389933424414</v>
      </c>
      <c r="O8" s="42">
        <f t="shared" si="11"/>
        <v>1.2142783881442754</v>
      </c>
      <c r="P8" s="176">
        <v>489.31</v>
      </c>
      <c r="Q8" s="192">
        <v>479.12</v>
      </c>
      <c r="R8" s="234"/>
      <c r="S8" s="186"/>
      <c r="T8" s="40">
        <f t="shared" si="3"/>
        <v>968.4300000000001</v>
      </c>
      <c r="U8" s="311">
        <v>58.53</v>
      </c>
      <c r="V8" s="192">
        <v>61.8</v>
      </c>
      <c r="W8" s="190"/>
      <c r="X8" s="190"/>
      <c r="Y8" s="40">
        <f t="shared" si="4"/>
        <v>120.33</v>
      </c>
      <c r="Z8" s="41">
        <f t="shared" si="5"/>
        <v>12.425265636132709</v>
      </c>
      <c r="AA8" s="43">
        <f t="shared" si="6"/>
        <v>-4.968740063379193</v>
      </c>
      <c r="AB8" s="39">
        <f t="shared" si="12"/>
        <v>5.006180469715706</v>
      </c>
      <c r="AC8" s="39">
        <f t="shared" si="7"/>
        <v>-4.302529028153341</v>
      </c>
      <c r="AD8" s="44">
        <f t="shared" si="8"/>
        <v>-8.864915813744616</v>
      </c>
      <c r="AE8" s="41">
        <f t="shared" si="9"/>
        <v>9.308709497869046</v>
      </c>
    </row>
    <row r="9" spans="1:31" ht="14.25" customHeight="1">
      <c r="A9" s="36">
        <v>4</v>
      </c>
      <c r="B9" s="37" t="s">
        <v>12</v>
      </c>
      <c r="C9" s="42">
        <f t="shared" si="0"/>
        <v>2.420450927477914</v>
      </c>
      <c r="D9" s="176">
        <v>871.0799999999999</v>
      </c>
      <c r="E9" s="193">
        <v>875.94</v>
      </c>
      <c r="F9" s="234">
        <v>863.16</v>
      </c>
      <c r="G9" s="186">
        <v>978.05</v>
      </c>
      <c r="H9" s="40">
        <f t="shared" si="1"/>
        <v>1747.02</v>
      </c>
      <c r="I9" s="193">
        <v>146.12</v>
      </c>
      <c r="J9" s="176">
        <v>162.34</v>
      </c>
      <c r="K9" s="190">
        <v>149.47</v>
      </c>
      <c r="L9" s="190">
        <v>173.12</v>
      </c>
      <c r="M9" s="40">
        <f t="shared" si="10"/>
        <v>308.46000000000004</v>
      </c>
      <c r="N9" s="41">
        <f t="shared" si="2"/>
        <v>17.656351959336472</v>
      </c>
      <c r="O9" s="42">
        <f t="shared" si="11"/>
        <v>2.3780010266628913</v>
      </c>
      <c r="P9" s="176">
        <v>979.19</v>
      </c>
      <c r="Q9" s="192">
        <v>917.35</v>
      </c>
      <c r="R9" s="234"/>
      <c r="S9" s="186"/>
      <c r="T9" s="40">
        <f t="shared" si="3"/>
        <v>1896.54</v>
      </c>
      <c r="U9" s="193">
        <v>153.85</v>
      </c>
      <c r="V9" s="192">
        <v>134.6</v>
      </c>
      <c r="W9" s="190"/>
      <c r="X9" s="190"/>
      <c r="Y9" s="40">
        <f t="shared" si="4"/>
        <v>288.45</v>
      </c>
      <c r="Z9" s="41">
        <f t="shared" si="5"/>
        <v>15.209275839159734</v>
      </c>
      <c r="AA9" s="43">
        <f t="shared" si="6"/>
        <v>-1.7538013406144497</v>
      </c>
      <c r="AB9" s="39">
        <f t="shared" si="12"/>
        <v>8.558574028917814</v>
      </c>
      <c r="AC9" s="39">
        <f t="shared" si="7"/>
        <v>-6.487064773390405</v>
      </c>
      <c r="AD9" s="44">
        <f t="shared" si="8"/>
        <v>-13.859466133278758</v>
      </c>
      <c r="AE9" s="41">
        <f t="shared" si="9"/>
        <v>15.045638802308218</v>
      </c>
    </row>
    <row r="10" spans="1:31" ht="14.25" customHeight="1">
      <c r="A10" s="36">
        <v>5</v>
      </c>
      <c r="B10" s="37" t="s">
        <v>16</v>
      </c>
      <c r="C10" s="42">
        <f t="shared" si="0"/>
        <v>3.8380541515315176</v>
      </c>
      <c r="D10" s="176">
        <v>1389.97</v>
      </c>
      <c r="E10" s="193">
        <v>1380.24</v>
      </c>
      <c r="F10" s="234">
        <v>1409.37</v>
      </c>
      <c r="G10" s="186">
        <v>1553.6</v>
      </c>
      <c r="H10" s="40">
        <f t="shared" si="1"/>
        <v>2770.21</v>
      </c>
      <c r="I10" s="193">
        <v>94.7</v>
      </c>
      <c r="J10" s="176">
        <v>108.47</v>
      </c>
      <c r="K10" s="190">
        <v>113.15</v>
      </c>
      <c r="L10" s="190">
        <v>101.93</v>
      </c>
      <c r="M10" s="40">
        <f t="shared" si="10"/>
        <v>203.17000000000002</v>
      </c>
      <c r="N10" s="41">
        <f t="shared" si="2"/>
        <v>7.334101024832053</v>
      </c>
      <c r="O10" s="42">
        <f t="shared" si="11"/>
        <v>3.781374469396593</v>
      </c>
      <c r="P10" s="176">
        <v>1549.81</v>
      </c>
      <c r="Q10" s="192">
        <v>1465.97</v>
      </c>
      <c r="R10" s="234"/>
      <c r="S10" s="186"/>
      <c r="T10" s="40">
        <f t="shared" si="3"/>
        <v>3015.7799999999997</v>
      </c>
      <c r="U10" s="193">
        <v>100</v>
      </c>
      <c r="V10" s="192">
        <v>99.85</v>
      </c>
      <c r="W10" s="190"/>
      <c r="X10" s="190"/>
      <c r="Y10" s="40">
        <f t="shared" si="4"/>
        <v>199.85</v>
      </c>
      <c r="Z10" s="41">
        <f t="shared" si="5"/>
        <v>6.6268096479186145</v>
      </c>
      <c r="AA10" s="43">
        <f t="shared" si="6"/>
        <v>-1.4767817205577283</v>
      </c>
      <c r="AB10" s="39">
        <f t="shared" si="12"/>
        <v>8.864670909425628</v>
      </c>
      <c r="AC10" s="39">
        <f t="shared" si="7"/>
        <v>-1.6340995225673185</v>
      </c>
      <c r="AD10" s="44">
        <f t="shared" si="8"/>
        <v>-9.643872841656629</v>
      </c>
      <c r="AE10" s="41">
        <f t="shared" si="9"/>
        <v>10.498770431992947</v>
      </c>
    </row>
    <row r="11" spans="1:31" ht="14.25" customHeight="1">
      <c r="A11" s="36">
        <v>6</v>
      </c>
      <c r="B11" s="37" t="s">
        <v>17</v>
      </c>
      <c r="C11" s="42">
        <f t="shared" si="0"/>
        <v>3.0724965938119744</v>
      </c>
      <c r="D11" s="176">
        <v>1095.15</v>
      </c>
      <c r="E11" s="193">
        <v>1122.5</v>
      </c>
      <c r="F11" s="234">
        <v>1142.28</v>
      </c>
      <c r="G11" s="186">
        <v>1147.91</v>
      </c>
      <c r="H11" s="40">
        <f t="shared" si="1"/>
        <v>2217.65</v>
      </c>
      <c r="I11" s="193">
        <v>94.78</v>
      </c>
      <c r="J11" s="176">
        <v>98.37</v>
      </c>
      <c r="K11" s="190">
        <v>99.07</v>
      </c>
      <c r="L11" s="190">
        <v>111.8</v>
      </c>
      <c r="M11" s="40">
        <f t="shared" si="10"/>
        <v>193.15</v>
      </c>
      <c r="N11" s="41">
        <f t="shared" si="2"/>
        <v>8.709670146326067</v>
      </c>
      <c r="O11" s="42">
        <f t="shared" si="11"/>
        <v>3.003076728631732</v>
      </c>
      <c r="P11" s="176">
        <v>1183.98</v>
      </c>
      <c r="Q11" s="192">
        <v>1211.08</v>
      </c>
      <c r="R11" s="234"/>
      <c r="S11" s="186"/>
      <c r="T11" s="40">
        <f t="shared" si="3"/>
        <v>2395.06</v>
      </c>
      <c r="U11" s="193">
        <v>91.31</v>
      </c>
      <c r="V11" s="192">
        <v>96.78</v>
      </c>
      <c r="W11" s="190"/>
      <c r="X11" s="190"/>
      <c r="Y11" s="40">
        <f t="shared" si="4"/>
        <v>188.09</v>
      </c>
      <c r="Z11" s="41">
        <f t="shared" si="5"/>
        <v>7.853247935333561</v>
      </c>
      <c r="AA11" s="43">
        <f t="shared" si="6"/>
        <v>-2.2593960012862</v>
      </c>
      <c r="AB11" s="39">
        <f t="shared" si="12"/>
        <v>7.9999098144432095</v>
      </c>
      <c r="AC11" s="39">
        <f t="shared" si="7"/>
        <v>-2.6197256018638373</v>
      </c>
      <c r="AD11" s="44">
        <f t="shared" si="8"/>
        <v>-9.833003966904114</v>
      </c>
      <c r="AE11" s="41">
        <f t="shared" si="9"/>
        <v>10.619635416307046</v>
      </c>
    </row>
    <row r="12" spans="1:31" ht="14.25" customHeight="1" thickBot="1">
      <c r="A12" s="425" t="s">
        <v>45</v>
      </c>
      <c r="B12" s="426"/>
      <c r="C12" s="76">
        <f aca="true" t="shared" si="13" ref="C12:M12">SUM(C6:C11)</f>
        <v>18.508728348157444</v>
      </c>
      <c r="D12" s="349">
        <f t="shared" si="13"/>
        <v>6721.32</v>
      </c>
      <c r="E12" s="336">
        <f t="shared" si="13"/>
        <v>6637.8099999999995</v>
      </c>
      <c r="F12" s="145">
        <f t="shared" si="13"/>
        <v>6760.98</v>
      </c>
      <c r="G12" s="76">
        <f t="shared" si="13"/>
        <v>7012.48</v>
      </c>
      <c r="H12" s="70">
        <f t="shared" si="13"/>
        <v>13359.13</v>
      </c>
      <c r="I12" s="314">
        <f t="shared" si="13"/>
        <v>635.99</v>
      </c>
      <c r="J12" s="314">
        <f t="shared" si="13"/>
        <v>652.5</v>
      </c>
      <c r="K12" s="70">
        <f t="shared" si="13"/>
        <v>649.81</v>
      </c>
      <c r="L12" s="70">
        <f t="shared" si="13"/>
        <v>697.55</v>
      </c>
      <c r="M12" s="70">
        <f t="shared" si="13"/>
        <v>1288.4900000000002</v>
      </c>
      <c r="N12" s="71">
        <f t="shared" si="2"/>
        <v>9.645014308566504</v>
      </c>
      <c r="O12" s="365">
        <f aca="true" t="shared" si="14" ref="O12:Y12">SUM(O6:O11)</f>
        <v>17.550042292793524</v>
      </c>
      <c r="P12" s="366">
        <f t="shared" si="14"/>
        <v>7129.5</v>
      </c>
      <c r="Q12" s="367">
        <f t="shared" si="14"/>
        <v>6867.280000000001</v>
      </c>
      <c r="R12" s="366">
        <f t="shared" si="14"/>
        <v>0</v>
      </c>
      <c r="S12" s="76">
        <f t="shared" si="14"/>
        <v>0</v>
      </c>
      <c r="T12" s="78">
        <f t="shared" si="14"/>
        <v>13996.78</v>
      </c>
      <c r="U12" s="368">
        <f t="shared" si="14"/>
        <v>605.72</v>
      </c>
      <c r="V12" s="368">
        <v>597.53</v>
      </c>
      <c r="W12" s="78">
        <f t="shared" si="14"/>
        <v>0</v>
      </c>
      <c r="X12" s="78">
        <f t="shared" si="14"/>
        <v>0</v>
      </c>
      <c r="Y12" s="78">
        <f t="shared" si="14"/>
        <v>1203.25</v>
      </c>
      <c r="Z12" s="68">
        <f aca="true" t="shared" si="15" ref="Z12:Z18">Y12/T12*100</f>
        <v>8.596620079761202</v>
      </c>
      <c r="AA12" s="72">
        <f aca="true" t="shared" si="16" ref="AA12:AA31">(O12-C12)/C12*100</f>
        <v>-5.179643016692488</v>
      </c>
      <c r="AB12" s="73">
        <f t="shared" si="12"/>
        <v>4.773140167061789</v>
      </c>
      <c r="AC12" s="73">
        <f t="shared" si="7"/>
        <v>-6.615495657707876</v>
      </c>
      <c r="AD12" s="74">
        <f t="shared" si="8"/>
        <v>-10.869804805516354</v>
      </c>
      <c r="AE12" s="71">
        <f t="shared" si="9"/>
        <v>11.388635824769665</v>
      </c>
    </row>
    <row r="13" spans="1:31" ht="14.25" customHeight="1">
      <c r="A13" s="45">
        <v>7</v>
      </c>
      <c r="B13" s="160" t="s">
        <v>5</v>
      </c>
      <c r="C13" s="126">
        <f aca="true" t="shared" si="17" ref="C13:C19">H13/$H$31*100</f>
        <v>2.4580388392719836</v>
      </c>
      <c r="D13" s="411">
        <v>913.88</v>
      </c>
      <c r="E13" s="194">
        <v>860.27</v>
      </c>
      <c r="F13" s="337">
        <v>933.63</v>
      </c>
      <c r="G13" s="340">
        <v>949.06</v>
      </c>
      <c r="H13" s="40">
        <f aca="true" t="shared" si="18" ref="H13:H19">D13+E13</f>
        <v>1774.15</v>
      </c>
      <c r="I13" s="194">
        <v>117.97</v>
      </c>
      <c r="J13" s="194">
        <v>111.7</v>
      </c>
      <c r="K13" s="191">
        <v>122.96</v>
      </c>
      <c r="L13" s="191">
        <v>122.85</v>
      </c>
      <c r="M13" s="40">
        <f t="shared" si="10"/>
        <v>229.67000000000002</v>
      </c>
      <c r="N13" s="50">
        <f t="shared" si="2"/>
        <v>12.945354113237325</v>
      </c>
      <c r="O13" s="46">
        <f>T13/$T$31*100</f>
        <v>2.5152488529035826</v>
      </c>
      <c r="P13" s="359">
        <v>1010.37</v>
      </c>
      <c r="Q13" s="391">
        <v>995.63</v>
      </c>
      <c r="R13" s="400"/>
      <c r="S13" s="369"/>
      <c r="T13" s="338">
        <f aca="true" t="shared" si="19" ref="T13:T19">SUM(P13:S13)</f>
        <v>2006</v>
      </c>
      <c r="U13" s="194">
        <v>119.47</v>
      </c>
      <c r="V13" s="391">
        <v>122.48</v>
      </c>
      <c r="W13" s="191"/>
      <c r="X13" s="191"/>
      <c r="Y13" s="48">
        <f aca="true" t="shared" si="20" ref="Y13:Y19">SUM(U13:X13)</f>
        <v>241.95</v>
      </c>
      <c r="Z13" s="49">
        <f t="shared" si="15"/>
        <v>12.061316051844466</v>
      </c>
      <c r="AA13" s="395">
        <f>(O13-C13)/C13*100</f>
        <v>2.327465812075747</v>
      </c>
      <c r="AB13" s="392">
        <f t="shared" si="12"/>
        <v>13.068229856551019</v>
      </c>
      <c r="AC13" s="47">
        <f t="shared" si="7"/>
        <v>5.346801933208504</v>
      </c>
      <c r="AD13" s="50">
        <f t="shared" si="8"/>
        <v>-6.828998679061876</v>
      </c>
      <c r="AE13" s="49">
        <f t="shared" si="9"/>
        <v>7.721427923342515</v>
      </c>
    </row>
    <row r="14" spans="1:31" ht="14.25" customHeight="1">
      <c r="A14" s="36">
        <v>8</v>
      </c>
      <c r="B14" s="161" t="s">
        <v>6</v>
      </c>
      <c r="C14" s="126">
        <f t="shared" si="17"/>
        <v>0.8869527966209951</v>
      </c>
      <c r="D14" s="412">
        <v>309.85</v>
      </c>
      <c r="E14" s="193">
        <v>330.33</v>
      </c>
      <c r="F14" s="234">
        <v>324.25</v>
      </c>
      <c r="G14" s="339">
        <v>317.39</v>
      </c>
      <c r="H14" s="40">
        <f t="shared" si="18"/>
        <v>640.1800000000001</v>
      </c>
      <c r="I14" s="193">
        <v>57.75</v>
      </c>
      <c r="J14" s="193">
        <v>67.28</v>
      </c>
      <c r="K14" s="190">
        <v>61.33</v>
      </c>
      <c r="L14" s="190">
        <v>58.7</v>
      </c>
      <c r="M14" s="40">
        <f t="shared" si="10"/>
        <v>125.03</v>
      </c>
      <c r="N14" s="44">
        <f t="shared" si="2"/>
        <v>19.530444562466805</v>
      </c>
      <c r="O14" s="42">
        <f t="shared" si="11"/>
        <v>0.8920231001658359</v>
      </c>
      <c r="P14" s="364">
        <v>350.04</v>
      </c>
      <c r="Q14" s="192">
        <v>361.38</v>
      </c>
      <c r="R14" s="226"/>
      <c r="S14" s="339"/>
      <c r="T14" s="40">
        <f t="shared" si="19"/>
        <v>711.4200000000001</v>
      </c>
      <c r="U14" s="193">
        <v>62.06</v>
      </c>
      <c r="V14" s="192">
        <v>64.99</v>
      </c>
      <c r="W14" s="190"/>
      <c r="X14" s="190"/>
      <c r="Y14" s="40">
        <f t="shared" si="20"/>
        <v>127.05</v>
      </c>
      <c r="Z14" s="41">
        <f t="shared" si="15"/>
        <v>17.858648899384328</v>
      </c>
      <c r="AA14" s="396">
        <f t="shared" si="16"/>
        <v>0.5716542711356176</v>
      </c>
      <c r="AB14" s="393">
        <f t="shared" si="12"/>
        <v>11.128120216189197</v>
      </c>
      <c r="AC14" s="39">
        <f t="shared" si="7"/>
        <v>1.6156122530592627</v>
      </c>
      <c r="AD14" s="44">
        <f t="shared" si="8"/>
        <v>-8.55994679350668</v>
      </c>
      <c r="AE14" s="41">
        <f t="shared" si="9"/>
        <v>9.512507963129934</v>
      </c>
    </row>
    <row r="15" spans="1:33" ht="14.25" customHeight="1">
      <c r="A15" s="36">
        <v>9</v>
      </c>
      <c r="B15" s="158" t="s">
        <v>7</v>
      </c>
      <c r="C15" s="126">
        <f t="shared" si="17"/>
        <v>1.293201506398258</v>
      </c>
      <c r="D15" s="412">
        <v>457.09999999999997</v>
      </c>
      <c r="E15" s="193">
        <v>476.3</v>
      </c>
      <c r="F15" s="234">
        <v>483.09</v>
      </c>
      <c r="G15" s="186">
        <v>476.43</v>
      </c>
      <c r="H15" s="40">
        <f t="shared" si="18"/>
        <v>933.4</v>
      </c>
      <c r="I15" s="193">
        <v>74.96</v>
      </c>
      <c r="J15" s="193">
        <v>77.99</v>
      </c>
      <c r="K15" s="190">
        <v>78.04</v>
      </c>
      <c r="L15" s="190">
        <v>84.49</v>
      </c>
      <c r="M15" s="40">
        <f t="shared" si="10"/>
        <v>152.95</v>
      </c>
      <c r="N15" s="44">
        <f t="shared" si="2"/>
        <v>16.386329547889435</v>
      </c>
      <c r="O15" s="42">
        <f t="shared" si="11"/>
        <v>1.2632793478508915</v>
      </c>
      <c r="P15" s="364">
        <v>508.41</v>
      </c>
      <c r="Q15" s="192">
        <v>499.1</v>
      </c>
      <c r="R15" s="226"/>
      <c r="S15" s="186"/>
      <c r="T15" s="40">
        <f t="shared" si="19"/>
        <v>1007.51</v>
      </c>
      <c r="U15" s="193">
        <v>67.83</v>
      </c>
      <c r="V15" s="192">
        <v>68.39</v>
      </c>
      <c r="W15" s="190"/>
      <c r="X15" s="190"/>
      <c r="Y15" s="218">
        <f t="shared" si="20"/>
        <v>136.22</v>
      </c>
      <c r="Z15" s="41">
        <f t="shared" si="15"/>
        <v>13.520461335371362</v>
      </c>
      <c r="AA15" s="42">
        <f>AF15/$T$31*100</f>
        <v>0</v>
      </c>
      <c r="AB15" s="393">
        <f t="shared" si="12"/>
        <v>7.9397900149989304</v>
      </c>
      <c r="AC15" s="39">
        <f t="shared" si="7"/>
        <v>-10.938215102974823</v>
      </c>
      <c r="AD15" s="44">
        <f t="shared" si="8"/>
        <v>-17.489384698034456</v>
      </c>
      <c r="AE15" s="41">
        <f t="shared" si="9"/>
        <v>18.878005117973753</v>
      </c>
      <c r="AG15" s="42">
        <f>AL15/$T$31*100</f>
        <v>0</v>
      </c>
    </row>
    <row r="16" spans="1:31" ht="14.25" customHeight="1">
      <c r="A16" s="36">
        <v>10</v>
      </c>
      <c r="B16" s="158" t="s">
        <v>13</v>
      </c>
      <c r="C16" s="126">
        <f t="shared" si="17"/>
        <v>4.028307452215691</v>
      </c>
      <c r="D16" s="412">
        <v>1579.5999999999997</v>
      </c>
      <c r="E16" s="193">
        <v>1327.93</v>
      </c>
      <c r="F16" s="234">
        <v>1662.44</v>
      </c>
      <c r="G16" s="186">
        <v>1657.56</v>
      </c>
      <c r="H16" s="40">
        <f t="shared" si="18"/>
        <v>2907.5299999999997</v>
      </c>
      <c r="I16" s="193">
        <v>178.01999999999998</v>
      </c>
      <c r="J16" s="193">
        <v>182.33</v>
      </c>
      <c r="K16" s="190">
        <v>200.29</v>
      </c>
      <c r="L16" s="190">
        <v>187.67</v>
      </c>
      <c r="M16" s="40">
        <f t="shared" si="10"/>
        <v>360.35</v>
      </c>
      <c r="N16" s="44">
        <f t="shared" si="2"/>
        <v>12.393681234587435</v>
      </c>
      <c r="O16" s="42">
        <f t="shared" si="11"/>
        <v>4.358364531530512</v>
      </c>
      <c r="P16" s="364">
        <v>1718.18</v>
      </c>
      <c r="Q16" s="192">
        <v>1757.77</v>
      </c>
      <c r="R16" s="226"/>
      <c r="S16" s="186"/>
      <c r="T16" s="40">
        <f t="shared" si="19"/>
        <v>3475.95</v>
      </c>
      <c r="U16" s="193">
        <v>177.41</v>
      </c>
      <c r="V16" s="192">
        <v>200.79</v>
      </c>
      <c r="W16" s="190"/>
      <c r="X16" s="190"/>
      <c r="Y16" s="40">
        <f t="shared" si="20"/>
        <v>378.2</v>
      </c>
      <c r="Z16" s="41">
        <f t="shared" si="15"/>
        <v>10.880478718048304</v>
      </c>
      <c r="AA16" s="396">
        <f t="shared" si="16"/>
        <v>8.193443108054701</v>
      </c>
      <c r="AB16" s="393">
        <f t="shared" si="12"/>
        <v>19.549927257844292</v>
      </c>
      <c r="AC16" s="39">
        <f t="shared" si="7"/>
        <v>4.953517413625632</v>
      </c>
      <c r="AD16" s="44">
        <f t="shared" si="8"/>
        <v>-12.209467775532175</v>
      </c>
      <c r="AE16" s="41">
        <f t="shared" si="9"/>
        <v>14.596409844218659</v>
      </c>
    </row>
    <row r="17" spans="1:31" ht="14.25" customHeight="1">
      <c r="A17" s="36">
        <v>11</v>
      </c>
      <c r="B17" s="158" t="s">
        <v>14</v>
      </c>
      <c r="C17" s="126">
        <f t="shared" si="17"/>
        <v>5.860167426229741</v>
      </c>
      <c r="D17" s="412">
        <v>2150.38</v>
      </c>
      <c r="E17" s="193">
        <v>2079.34</v>
      </c>
      <c r="F17" s="234">
        <v>2176.59</v>
      </c>
      <c r="G17" s="186">
        <v>2238.11</v>
      </c>
      <c r="H17" s="40">
        <f t="shared" si="18"/>
        <v>4229.72</v>
      </c>
      <c r="I17" s="193">
        <v>205.08999999999997</v>
      </c>
      <c r="J17" s="193">
        <v>233.83</v>
      </c>
      <c r="K17" s="190">
        <v>252.56</v>
      </c>
      <c r="L17" s="190">
        <v>247.55</v>
      </c>
      <c r="M17" s="40">
        <f t="shared" si="10"/>
        <v>438.91999999999996</v>
      </c>
      <c r="N17" s="44">
        <f t="shared" si="2"/>
        <v>10.377046234738941</v>
      </c>
      <c r="O17" s="42">
        <f t="shared" si="11"/>
        <v>5.924000364121769</v>
      </c>
      <c r="P17" s="364">
        <v>2416.67</v>
      </c>
      <c r="Q17" s="192">
        <v>2307.93</v>
      </c>
      <c r="R17" s="226"/>
      <c r="S17" s="186"/>
      <c r="T17" s="40">
        <f t="shared" si="19"/>
        <v>4724.6</v>
      </c>
      <c r="U17" s="193">
        <v>246.33</v>
      </c>
      <c r="V17" s="192">
        <v>199.44</v>
      </c>
      <c r="W17" s="190"/>
      <c r="X17" s="190"/>
      <c r="Y17" s="40">
        <f t="shared" si="20"/>
        <v>445.77</v>
      </c>
      <c r="Z17" s="41">
        <f t="shared" si="15"/>
        <v>9.435084451593784</v>
      </c>
      <c r="AA17" s="396">
        <f t="shared" si="16"/>
        <v>1.089268159921771</v>
      </c>
      <c r="AB17" s="393">
        <f t="shared" si="12"/>
        <v>11.70006525254627</v>
      </c>
      <c r="AC17" s="39">
        <f t="shared" si="7"/>
        <v>1.5606488653968886</v>
      </c>
      <c r="AD17" s="44">
        <f t="shared" si="8"/>
        <v>-9.077359412660012</v>
      </c>
      <c r="AE17" s="41">
        <f t="shared" si="9"/>
        <v>10.139416387149382</v>
      </c>
    </row>
    <row r="18" spans="1:31" ht="14.25" customHeight="1">
      <c r="A18" s="36">
        <v>12</v>
      </c>
      <c r="B18" s="158" t="s">
        <v>53</v>
      </c>
      <c r="C18" s="126">
        <f t="shared" si="17"/>
        <v>7.181300090083527</v>
      </c>
      <c r="D18" s="412">
        <v>2703.15</v>
      </c>
      <c r="E18" s="193">
        <v>2480.13</v>
      </c>
      <c r="F18" s="234">
        <v>2552.03</v>
      </c>
      <c r="G18" s="186">
        <v>2778.28</v>
      </c>
      <c r="H18" s="40">
        <f t="shared" si="18"/>
        <v>5183.280000000001</v>
      </c>
      <c r="I18" s="193">
        <v>275.25</v>
      </c>
      <c r="J18" s="193">
        <v>236.09</v>
      </c>
      <c r="K18" s="190">
        <v>220.59</v>
      </c>
      <c r="L18" s="190">
        <v>297.32</v>
      </c>
      <c r="M18" s="40">
        <f t="shared" si="10"/>
        <v>511.34000000000003</v>
      </c>
      <c r="N18" s="44">
        <f t="shared" si="2"/>
        <v>9.865181892546804</v>
      </c>
      <c r="O18" s="42">
        <f t="shared" si="11"/>
        <v>8.02748066104652</v>
      </c>
      <c r="P18" s="364">
        <v>2961.67</v>
      </c>
      <c r="Q18" s="192">
        <v>3440.53</v>
      </c>
      <c r="R18" s="226"/>
      <c r="S18" s="186"/>
      <c r="T18" s="40">
        <f t="shared" si="19"/>
        <v>6402.200000000001</v>
      </c>
      <c r="U18" s="193">
        <v>232.36</v>
      </c>
      <c r="V18" s="192">
        <v>234.55</v>
      </c>
      <c r="W18" s="190"/>
      <c r="X18" s="190"/>
      <c r="Y18" s="40">
        <f t="shared" si="20"/>
        <v>466.91</v>
      </c>
      <c r="Z18" s="41">
        <f t="shared" si="15"/>
        <v>7.292961794383181</v>
      </c>
      <c r="AA18" s="396">
        <f t="shared" si="16"/>
        <v>11.783111140717569</v>
      </c>
      <c r="AB18" s="393">
        <f t="shared" si="12"/>
        <v>23.516383448318436</v>
      </c>
      <c r="AC18" s="39">
        <f t="shared" si="7"/>
        <v>-8.688934955215709</v>
      </c>
      <c r="AD18" s="44">
        <f t="shared" si="8"/>
        <v>-26.073721966616237</v>
      </c>
      <c r="AE18" s="41">
        <f t="shared" si="9"/>
        <v>32.20531840353414</v>
      </c>
    </row>
    <row r="19" spans="1:31" ht="14.25" customHeight="1">
      <c r="A19" s="36">
        <v>13</v>
      </c>
      <c r="B19" s="158" t="s">
        <v>54</v>
      </c>
      <c r="C19" s="126">
        <f t="shared" si="17"/>
        <v>5.012977735708628</v>
      </c>
      <c r="D19" s="412">
        <v>1855.8600000000001</v>
      </c>
      <c r="E19" s="193">
        <v>1762.38</v>
      </c>
      <c r="F19" s="234">
        <v>1865.88</v>
      </c>
      <c r="G19" s="186">
        <v>1943.37</v>
      </c>
      <c r="H19" s="40">
        <f t="shared" si="18"/>
        <v>3618.2400000000002</v>
      </c>
      <c r="I19" s="193">
        <v>186.38</v>
      </c>
      <c r="J19" s="193">
        <v>154.37</v>
      </c>
      <c r="K19" s="190">
        <v>179.32</v>
      </c>
      <c r="L19" s="190">
        <v>185.18</v>
      </c>
      <c r="M19" s="40">
        <f t="shared" si="10"/>
        <v>340.75</v>
      </c>
      <c r="N19" s="44">
        <f t="shared" si="2"/>
        <v>9.417562129654195</v>
      </c>
      <c r="O19" s="42">
        <f t="shared" si="11"/>
        <v>5.028127905043462</v>
      </c>
      <c r="P19" s="364">
        <v>2040.61</v>
      </c>
      <c r="Q19" s="192">
        <v>1969.5</v>
      </c>
      <c r="R19" s="226"/>
      <c r="S19" s="186"/>
      <c r="T19" s="40">
        <f t="shared" si="19"/>
        <v>4010.1099999999997</v>
      </c>
      <c r="U19" s="193">
        <v>166.03</v>
      </c>
      <c r="V19" s="192">
        <v>168.97</v>
      </c>
      <c r="W19" s="190"/>
      <c r="X19" s="190"/>
      <c r="Y19" s="40">
        <f t="shared" si="20"/>
        <v>335</v>
      </c>
      <c r="Z19" s="41">
        <f aca="true" t="shared" si="21" ref="Z19:Z30">Y19/T19*100</f>
        <v>8.353885554261604</v>
      </c>
      <c r="AA19" s="396">
        <f t="shared" si="16"/>
        <v>0.3022189631307582</v>
      </c>
      <c r="AB19" s="393">
        <f t="shared" si="12"/>
        <v>10.830403732201276</v>
      </c>
      <c r="AC19" s="39">
        <f t="shared" si="7"/>
        <v>-1.6874541452677916</v>
      </c>
      <c r="AD19" s="44">
        <f t="shared" si="8"/>
        <v>-11.294606403957419</v>
      </c>
      <c r="AE19" s="41">
        <f t="shared" si="9"/>
        <v>12.517857877469067</v>
      </c>
    </row>
    <row r="20" spans="1:31" ht="14.25" customHeight="1" thickBot="1">
      <c r="A20" s="425" t="s">
        <v>47</v>
      </c>
      <c r="B20" s="426"/>
      <c r="C20" s="413">
        <f>SUM(C13:C19)</f>
        <v>26.720945846528824</v>
      </c>
      <c r="D20" s="349">
        <f>SUM(D13:D19)</f>
        <v>9969.82</v>
      </c>
      <c r="E20" s="69">
        <f>SUM(E13:E19)</f>
        <v>9316.68</v>
      </c>
      <c r="F20" s="145">
        <f>SUM(F13:F19)</f>
        <v>9997.91</v>
      </c>
      <c r="G20" s="69">
        <f>SUM(G14:G19)</f>
        <v>9411.14</v>
      </c>
      <c r="H20" s="70">
        <f aca="true" t="shared" si="22" ref="H20:M20">SUM(H13:H19)</f>
        <v>19286.5</v>
      </c>
      <c r="I20" s="314">
        <f t="shared" si="22"/>
        <v>1095.42</v>
      </c>
      <c r="J20" s="314">
        <f t="shared" si="22"/>
        <v>1063.5900000000001</v>
      </c>
      <c r="K20" s="70">
        <f t="shared" si="22"/>
        <v>1115.0900000000001</v>
      </c>
      <c r="L20" s="70">
        <f t="shared" si="22"/>
        <v>1183.76</v>
      </c>
      <c r="M20" s="70">
        <f t="shared" si="22"/>
        <v>2159.01</v>
      </c>
      <c r="N20" s="74">
        <f t="shared" si="2"/>
        <v>11.194410598086746</v>
      </c>
      <c r="O20" s="348">
        <f>SUM(O13:O19)</f>
        <v>28.008524762662574</v>
      </c>
      <c r="P20" s="349">
        <f>SUM(P13:P19)</f>
        <v>11005.95</v>
      </c>
      <c r="Q20" s="349">
        <f>SUM(Q13:Q19)</f>
        <v>11331.84</v>
      </c>
      <c r="R20" s="145"/>
      <c r="S20" s="69">
        <f>SUM(S14:S19)</f>
        <v>0</v>
      </c>
      <c r="T20" s="70">
        <f aca="true" t="shared" si="23" ref="T20:Y20">SUM(T13:T19)</f>
        <v>22337.79</v>
      </c>
      <c r="U20" s="314">
        <f t="shared" si="23"/>
        <v>1071.49</v>
      </c>
      <c r="V20" s="314">
        <v>1059.61</v>
      </c>
      <c r="W20" s="70">
        <f t="shared" si="23"/>
        <v>0</v>
      </c>
      <c r="X20" s="70">
        <f t="shared" si="23"/>
        <v>0</v>
      </c>
      <c r="Y20" s="70">
        <f t="shared" si="23"/>
        <v>2131.1000000000004</v>
      </c>
      <c r="Z20" s="71">
        <f t="shared" si="21"/>
        <v>9.540335010759794</v>
      </c>
      <c r="AA20" s="397">
        <f t="shared" si="16"/>
        <v>4.818612797349808</v>
      </c>
      <c r="AB20" s="73">
        <f t="shared" si="12"/>
        <v>15.820859150182775</v>
      </c>
      <c r="AC20" s="73">
        <f t="shared" si="7"/>
        <v>-1.2927221272712888</v>
      </c>
      <c r="AD20" s="74">
        <f t="shared" si="8"/>
        <v>-14.77590600088988</v>
      </c>
      <c r="AE20" s="71">
        <f t="shared" si="9"/>
        <v>17.113581277454063</v>
      </c>
    </row>
    <row r="21" spans="1:31" ht="14.25" customHeight="1">
      <c r="A21" s="45">
        <v>14</v>
      </c>
      <c r="B21" s="160" t="s">
        <v>1</v>
      </c>
      <c r="C21" s="126">
        <f>H21/$H$31*100</f>
        <v>8.993735717494076</v>
      </c>
      <c r="D21" s="178">
        <v>3262.3599999999997</v>
      </c>
      <c r="E21" s="194">
        <v>3229.09</v>
      </c>
      <c r="F21" s="262">
        <v>3323.04</v>
      </c>
      <c r="G21" s="187">
        <v>3346.8</v>
      </c>
      <c r="H21" s="40">
        <f>D21+E21</f>
        <v>6491.45</v>
      </c>
      <c r="I21" s="194">
        <v>440.15</v>
      </c>
      <c r="J21" s="194">
        <v>411.34</v>
      </c>
      <c r="K21" s="191">
        <v>430</v>
      </c>
      <c r="L21" s="191">
        <v>403.62</v>
      </c>
      <c r="M21" s="40">
        <f>I21+J21</f>
        <v>851.49</v>
      </c>
      <c r="N21" s="50">
        <f t="shared" si="2"/>
        <v>13.117100185628788</v>
      </c>
      <c r="O21" s="361">
        <f>T21/$T$31*100</f>
        <v>8.804236150520717</v>
      </c>
      <c r="P21" s="359">
        <v>3488.5</v>
      </c>
      <c r="Q21" s="391">
        <v>3533.19</v>
      </c>
      <c r="R21" s="262"/>
      <c r="S21" s="187"/>
      <c r="T21" s="48">
        <f>SUM(P21:S21)</f>
        <v>7021.6900000000005</v>
      </c>
      <c r="U21" s="194">
        <v>317.88</v>
      </c>
      <c r="V21" s="391">
        <v>406.4</v>
      </c>
      <c r="W21" s="191"/>
      <c r="X21" s="191"/>
      <c r="Y21" s="48">
        <f>SUM(U21:X21)</f>
        <v>724.28</v>
      </c>
      <c r="Z21" s="49">
        <f t="shared" si="21"/>
        <v>10.314895701747014</v>
      </c>
      <c r="AA21" s="395">
        <f t="shared" si="16"/>
        <v>-2.1070172943235965</v>
      </c>
      <c r="AB21" s="47">
        <f t="shared" si="12"/>
        <v>8.168282895192919</v>
      </c>
      <c r="AC21" s="47">
        <f t="shared" si="7"/>
        <v>-14.939693948255414</v>
      </c>
      <c r="AD21" s="50">
        <f t="shared" si="8"/>
        <v>-21.36298758281875</v>
      </c>
      <c r="AE21" s="49">
        <f t="shared" si="9"/>
        <v>23.107976843448334</v>
      </c>
    </row>
    <row r="22" spans="1:31" ht="14.25" customHeight="1">
      <c r="A22" s="36">
        <v>15</v>
      </c>
      <c r="B22" s="158" t="s">
        <v>8</v>
      </c>
      <c r="C22" s="126">
        <f>H22/$H$31*100</f>
        <v>8.401085324975416</v>
      </c>
      <c r="D22" s="176">
        <v>3056.42</v>
      </c>
      <c r="E22" s="193">
        <v>3007.27</v>
      </c>
      <c r="F22" s="234">
        <v>3144.18</v>
      </c>
      <c r="G22" s="186">
        <v>3260.68</v>
      </c>
      <c r="H22" s="40">
        <f>D22+E22</f>
        <v>6063.6900000000005</v>
      </c>
      <c r="I22" s="193">
        <v>330.3</v>
      </c>
      <c r="J22" s="193">
        <v>301.26</v>
      </c>
      <c r="K22" s="190">
        <v>295.77</v>
      </c>
      <c r="L22" s="190">
        <v>345.91</v>
      </c>
      <c r="M22" s="40">
        <f>I22+J22</f>
        <v>631.56</v>
      </c>
      <c r="N22" s="44">
        <f t="shared" si="2"/>
        <v>10.415440103303432</v>
      </c>
      <c r="O22" s="43">
        <f aca="true" t="shared" si="24" ref="O22:O29">T22/$T$31*100</f>
        <v>8.634450583635536</v>
      </c>
      <c r="P22" s="364">
        <v>3453.92</v>
      </c>
      <c r="Q22" s="192">
        <v>3432.36</v>
      </c>
      <c r="R22" s="234"/>
      <c r="S22" s="186"/>
      <c r="T22" s="40">
        <f>SUM(P22:S22)</f>
        <v>6886.280000000001</v>
      </c>
      <c r="U22" s="193">
        <v>332.45</v>
      </c>
      <c r="V22" s="192">
        <v>302.67</v>
      </c>
      <c r="W22" s="190"/>
      <c r="X22" s="190"/>
      <c r="Y22" s="40">
        <f>SUM(U22:X22)</f>
        <v>635.12</v>
      </c>
      <c r="Z22" s="41">
        <f t="shared" si="21"/>
        <v>9.222976701499212</v>
      </c>
      <c r="AA22" s="396">
        <f t="shared" si="16"/>
        <v>2.777798934696606</v>
      </c>
      <c r="AB22" s="39">
        <f t="shared" si="12"/>
        <v>13.565832026373382</v>
      </c>
      <c r="AC22" s="39">
        <f t="shared" si="7"/>
        <v>0.5636835771739913</v>
      </c>
      <c r="AD22" s="44">
        <f t="shared" si="8"/>
        <v>-11.448996777639865</v>
      </c>
      <c r="AE22" s="41">
        <f t="shared" si="9"/>
        <v>13.00214844919939</v>
      </c>
    </row>
    <row r="23" spans="1:31" ht="14.25" customHeight="1">
      <c r="A23" s="36">
        <v>16</v>
      </c>
      <c r="B23" s="158" t="s">
        <v>9</v>
      </c>
      <c r="C23" s="126">
        <f>H23/$H$31*100</f>
        <v>5.263014242950639</v>
      </c>
      <c r="D23" s="176">
        <v>1865.41</v>
      </c>
      <c r="E23" s="193">
        <v>1933.3</v>
      </c>
      <c r="F23" s="234">
        <v>1979.68</v>
      </c>
      <c r="G23" s="186">
        <v>1978.81</v>
      </c>
      <c r="H23" s="40">
        <f>D23+E23</f>
        <v>3798.71</v>
      </c>
      <c r="I23" s="193">
        <v>392.99</v>
      </c>
      <c r="J23" s="193">
        <v>449.67</v>
      </c>
      <c r="K23" s="190">
        <v>431.41</v>
      </c>
      <c r="L23" s="190">
        <v>414.28</v>
      </c>
      <c r="M23" s="40">
        <f>I23+J23</f>
        <v>842.6600000000001</v>
      </c>
      <c r="N23" s="44">
        <f t="shared" si="2"/>
        <v>22.18279363257527</v>
      </c>
      <c r="O23" s="43">
        <f t="shared" si="24"/>
        <v>5.1810364781299985</v>
      </c>
      <c r="P23" s="364">
        <v>2029.25</v>
      </c>
      <c r="Q23" s="192">
        <v>2102.81</v>
      </c>
      <c r="R23" s="234"/>
      <c r="S23" s="186"/>
      <c r="T23" s="40">
        <f>SUM(P23:S23)</f>
        <v>4132.0599999999995</v>
      </c>
      <c r="U23" s="193">
        <v>410.25</v>
      </c>
      <c r="V23" s="192">
        <v>420.3</v>
      </c>
      <c r="W23" s="190"/>
      <c r="X23" s="190"/>
      <c r="Y23" s="40">
        <f>SUM(U23:X23)</f>
        <v>830.55</v>
      </c>
      <c r="Z23" s="41">
        <f t="shared" si="21"/>
        <v>20.100143753962914</v>
      </c>
      <c r="AA23" s="396">
        <f t="shared" si="16"/>
        <v>-1.5576200450234965</v>
      </c>
      <c r="AB23" s="39">
        <f t="shared" si="12"/>
        <v>8.775347420571707</v>
      </c>
      <c r="AC23" s="39">
        <f t="shared" si="7"/>
        <v>-1.4371157999667867</v>
      </c>
      <c r="AD23" s="44">
        <f t="shared" si="8"/>
        <v>-9.388582489240664</v>
      </c>
      <c r="AE23" s="41">
        <f t="shared" si="9"/>
        <v>10.212463220538494</v>
      </c>
    </row>
    <row r="24" spans="1:31" ht="14.25" customHeight="1">
      <c r="A24" s="36">
        <v>17</v>
      </c>
      <c r="B24" s="158" t="s">
        <v>15</v>
      </c>
      <c r="C24" s="126">
        <f>H24/$H$31*100</f>
        <v>8.764218081378868</v>
      </c>
      <c r="D24" s="176">
        <v>3183.9899999999993</v>
      </c>
      <c r="E24" s="193">
        <v>3141.8</v>
      </c>
      <c r="F24" s="234">
        <v>3210.96</v>
      </c>
      <c r="G24" s="186">
        <v>3231.66</v>
      </c>
      <c r="H24" s="40">
        <f>D24+E24</f>
        <v>6325.789999999999</v>
      </c>
      <c r="I24" s="193">
        <v>332.85</v>
      </c>
      <c r="J24" s="193">
        <v>295.11</v>
      </c>
      <c r="K24" s="190">
        <v>309.16</v>
      </c>
      <c r="L24" s="190">
        <v>317.2</v>
      </c>
      <c r="M24" s="40">
        <f>I24+J24</f>
        <v>627.96</v>
      </c>
      <c r="N24" s="44">
        <f t="shared" si="2"/>
        <v>9.926981452119026</v>
      </c>
      <c r="O24" s="43">
        <f t="shared" si="24"/>
        <v>8.560272058143124</v>
      </c>
      <c r="P24" s="364">
        <v>3386.59</v>
      </c>
      <c r="Q24" s="192">
        <v>3440.53</v>
      </c>
      <c r="R24" s="234"/>
      <c r="S24" s="186"/>
      <c r="T24" s="40">
        <f>SUM(P24:S24)</f>
        <v>6827.120000000001</v>
      </c>
      <c r="U24" s="193">
        <v>294.89</v>
      </c>
      <c r="V24" s="192">
        <v>285.15999999999997</v>
      </c>
      <c r="W24" s="190"/>
      <c r="X24" s="190"/>
      <c r="Y24" s="40">
        <f>SUM(U24:X24)</f>
        <v>580.05</v>
      </c>
      <c r="Z24" s="41">
        <f t="shared" si="21"/>
        <v>8.496261966978754</v>
      </c>
      <c r="AA24" s="396">
        <f t="shared" si="16"/>
        <v>-2.327030447463004</v>
      </c>
      <c r="AB24" s="39">
        <f t="shared" si="12"/>
        <v>7.925176144007338</v>
      </c>
      <c r="AC24" s="39">
        <f t="shared" si="7"/>
        <v>-7.629466845021988</v>
      </c>
      <c r="AD24" s="44">
        <f t="shared" si="8"/>
        <v>-14.412432339488953</v>
      </c>
      <c r="AE24" s="41">
        <f t="shared" si="9"/>
        <v>15.554642989029325</v>
      </c>
    </row>
    <row r="25" spans="1:31" ht="14.25" customHeight="1">
      <c r="A25" s="36">
        <v>18</v>
      </c>
      <c r="B25" s="158" t="s">
        <v>18</v>
      </c>
      <c r="C25" s="126">
        <f>H25/$H$31*100</f>
        <v>1.4310284678901142</v>
      </c>
      <c r="D25" s="176">
        <v>501.96</v>
      </c>
      <c r="E25" s="193">
        <v>530.92</v>
      </c>
      <c r="F25" s="234">
        <v>522.27</v>
      </c>
      <c r="G25" s="186">
        <v>512.26</v>
      </c>
      <c r="H25" s="40">
        <f>D25+E25</f>
        <v>1032.8799999999999</v>
      </c>
      <c r="I25" s="193">
        <v>121.08</v>
      </c>
      <c r="J25" s="193">
        <v>143.87</v>
      </c>
      <c r="K25" s="190">
        <v>124.47</v>
      </c>
      <c r="L25" s="190">
        <v>108.48</v>
      </c>
      <c r="M25" s="40">
        <f>I25+J25</f>
        <v>264.95</v>
      </c>
      <c r="N25" s="44">
        <f t="shared" si="2"/>
        <v>25.65157617535435</v>
      </c>
      <c r="O25" s="43">
        <f t="shared" si="24"/>
        <v>1.3643783084738303</v>
      </c>
      <c r="P25" s="364">
        <v>551.22</v>
      </c>
      <c r="Q25" s="192">
        <v>536.92</v>
      </c>
      <c r="R25" s="234"/>
      <c r="S25" s="186"/>
      <c r="T25" s="40">
        <f>SUM(P25:S25)</f>
        <v>1088.1399999999999</v>
      </c>
      <c r="U25" s="193">
        <v>133.81</v>
      </c>
      <c r="V25" s="192">
        <v>107.83</v>
      </c>
      <c r="W25" s="190"/>
      <c r="X25" s="190"/>
      <c r="Y25" s="40">
        <f>SUM(U25:X25)</f>
        <v>241.64</v>
      </c>
      <c r="Z25" s="41">
        <f t="shared" si="21"/>
        <v>22.206701343577116</v>
      </c>
      <c r="AA25" s="396">
        <f t="shared" si="16"/>
        <v>-4.657500595676602</v>
      </c>
      <c r="AB25" s="39">
        <f t="shared" si="12"/>
        <v>5.35008907133452</v>
      </c>
      <c r="AC25" s="39">
        <f t="shared" si="7"/>
        <v>-8.797886393659182</v>
      </c>
      <c r="AD25" s="44">
        <f t="shared" si="8"/>
        <v>-13.429486002061028</v>
      </c>
      <c r="AE25" s="41">
        <f t="shared" si="9"/>
        <v>14.147975464993703</v>
      </c>
    </row>
    <row r="26" spans="1:31" ht="23.25" customHeight="1" thickBot="1">
      <c r="A26" s="425" t="s">
        <v>48</v>
      </c>
      <c r="B26" s="426"/>
      <c r="C26" s="76">
        <f>SUM(C21:C25)</f>
        <v>32.853081834689114</v>
      </c>
      <c r="D26" s="349">
        <f aca="true" t="shared" si="25" ref="D26:M26">SUM(D21:D25)</f>
        <v>11870.139999999998</v>
      </c>
      <c r="E26" s="70">
        <f t="shared" si="25"/>
        <v>11842.380000000001</v>
      </c>
      <c r="F26" s="145">
        <f t="shared" si="25"/>
        <v>12180.130000000001</v>
      </c>
      <c r="G26" s="69">
        <f t="shared" si="25"/>
        <v>12330.21</v>
      </c>
      <c r="H26" s="70">
        <f t="shared" si="25"/>
        <v>23712.52</v>
      </c>
      <c r="I26" s="314">
        <f t="shared" si="25"/>
        <v>1617.37</v>
      </c>
      <c r="J26" s="70">
        <f t="shared" si="25"/>
        <v>1601.25</v>
      </c>
      <c r="K26" s="70">
        <f t="shared" si="25"/>
        <v>1590.8100000000002</v>
      </c>
      <c r="L26" s="70">
        <f t="shared" si="25"/>
        <v>1589.49</v>
      </c>
      <c r="M26" s="70">
        <f t="shared" si="25"/>
        <v>3218.62</v>
      </c>
      <c r="N26" s="74">
        <f t="shared" si="2"/>
        <v>13.57350462962182</v>
      </c>
      <c r="O26" s="348">
        <f>SUM(O21:O25)</f>
        <v>32.544373578903205</v>
      </c>
      <c r="P26" s="349">
        <f>SUM(P21:P25)</f>
        <v>12909.48</v>
      </c>
      <c r="Q26" s="70">
        <f aca="true" t="shared" si="26" ref="Q26:Y26">SUM(Q21:Q25)</f>
        <v>13045.810000000001</v>
      </c>
      <c r="R26" s="145">
        <f t="shared" si="26"/>
        <v>0</v>
      </c>
      <c r="S26" s="69">
        <f t="shared" si="26"/>
        <v>0</v>
      </c>
      <c r="T26" s="70">
        <f t="shared" si="26"/>
        <v>25955.29</v>
      </c>
      <c r="U26" s="314">
        <f t="shared" si="26"/>
        <v>1489.2799999999997</v>
      </c>
      <c r="V26" s="70">
        <v>1522.3599999999997</v>
      </c>
      <c r="W26" s="70">
        <f t="shared" si="26"/>
        <v>0</v>
      </c>
      <c r="X26" s="70">
        <f t="shared" si="26"/>
        <v>0</v>
      </c>
      <c r="Y26" s="70">
        <f t="shared" si="26"/>
        <v>3011.64</v>
      </c>
      <c r="Z26" s="71">
        <f t="shared" si="21"/>
        <v>11.603183782573803</v>
      </c>
      <c r="AA26" s="397">
        <f t="shared" si="16"/>
        <v>-0.9396630043393626</v>
      </c>
      <c r="AB26" s="73">
        <f t="shared" si="12"/>
        <v>9.458168090105987</v>
      </c>
      <c r="AC26" s="73">
        <f t="shared" si="7"/>
        <v>-6.430706327556532</v>
      </c>
      <c r="AD26" s="74">
        <f t="shared" si="8"/>
        <v>-14.515933068222727</v>
      </c>
      <c r="AE26" s="71">
        <f t="shared" si="9"/>
        <v>15.88887441766252</v>
      </c>
    </row>
    <row r="27" spans="1:31" ht="14.25" customHeight="1">
      <c r="A27" s="36">
        <v>20</v>
      </c>
      <c r="B27" s="158" t="s">
        <v>4</v>
      </c>
      <c r="C27" s="126">
        <f>H27/$H$31*100</f>
        <v>6.6490286579771585</v>
      </c>
      <c r="D27" s="176">
        <v>2477.87</v>
      </c>
      <c r="E27" s="193">
        <v>2321.23</v>
      </c>
      <c r="F27" s="234">
        <v>2460.03</v>
      </c>
      <c r="G27" s="186">
        <v>2524.27</v>
      </c>
      <c r="H27" s="40">
        <f>D27+E27</f>
        <v>4799.1</v>
      </c>
      <c r="I27" s="193">
        <v>225.67000000000002</v>
      </c>
      <c r="J27" s="193">
        <v>205.33</v>
      </c>
      <c r="K27" s="190">
        <v>208.85</v>
      </c>
      <c r="L27" s="190">
        <v>232.8</v>
      </c>
      <c r="M27" s="40">
        <f>I27+J27</f>
        <v>431</v>
      </c>
      <c r="N27" s="44">
        <f t="shared" si="2"/>
        <v>8.980850576149695</v>
      </c>
      <c r="O27" s="398">
        <f>T27/$T$31*100</f>
        <v>6.554141671955878</v>
      </c>
      <c r="P27" s="388">
        <v>2629.11</v>
      </c>
      <c r="Q27" s="380">
        <v>2598.05</v>
      </c>
      <c r="R27" s="399"/>
      <c r="S27" s="339"/>
      <c r="T27" s="93">
        <f>SUM(P27:S27)</f>
        <v>5227.16</v>
      </c>
      <c r="U27" s="389">
        <v>218.74</v>
      </c>
      <c r="V27" s="380">
        <v>182.28</v>
      </c>
      <c r="W27" s="390"/>
      <c r="X27" s="401"/>
      <c r="Y27" s="344">
        <f>SUM(U27:X27)</f>
        <v>401.02</v>
      </c>
      <c r="Z27" s="97">
        <f t="shared" si="21"/>
        <v>7.671852401686576</v>
      </c>
      <c r="AA27" s="99">
        <f t="shared" si="16"/>
        <v>-1.4270804188434345</v>
      </c>
      <c r="AB27" s="47">
        <f t="shared" si="12"/>
        <v>8.91958908962096</v>
      </c>
      <c r="AC27" s="47">
        <f t="shared" si="7"/>
        <v>-6.955916473317869</v>
      </c>
      <c r="AD27" s="50">
        <f t="shared" si="8"/>
        <v>-14.575436517554422</v>
      </c>
      <c r="AE27" s="49">
        <f t="shared" si="9"/>
        <v>15.875505562938828</v>
      </c>
    </row>
    <row r="28" spans="1:31" ht="14.25" customHeight="1">
      <c r="A28" s="36">
        <v>19</v>
      </c>
      <c r="B28" s="158" t="s">
        <v>10</v>
      </c>
      <c r="C28" s="126">
        <f>D28/$D$31*100</f>
        <v>5.644482897546653</v>
      </c>
      <c r="D28" s="176">
        <v>2070.7000000000003</v>
      </c>
      <c r="E28" s="193">
        <v>1953.55</v>
      </c>
      <c r="F28" s="234">
        <v>2029.35</v>
      </c>
      <c r="G28" s="186">
        <v>2142.05</v>
      </c>
      <c r="H28" s="40">
        <f>D28+E28</f>
        <v>4024.25</v>
      </c>
      <c r="I28" s="193">
        <v>193.9</v>
      </c>
      <c r="J28" s="193">
        <v>218.72</v>
      </c>
      <c r="K28" s="190">
        <v>196.69</v>
      </c>
      <c r="L28" s="190">
        <v>221.73</v>
      </c>
      <c r="M28" s="40">
        <f>I28+J28</f>
        <v>412.62</v>
      </c>
      <c r="N28" s="44">
        <f t="shared" si="2"/>
        <v>10.253339131515188</v>
      </c>
      <c r="O28" s="43">
        <f t="shared" si="24"/>
        <v>5.6184841450298</v>
      </c>
      <c r="P28" s="364">
        <v>2298.76</v>
      </c>
      <c r="Q28" s="192">
        <v>2182.18</v>
      </c>
      <c r="R28" s="234"/>
      <c r="S28" s="186"/>
      <c r="T28" s="40">
        <f>SUM(P28:S28)</f>
        <v>4480.9400000000005</v>
      </c>
      <c r="U28" s="193">
        <v>185.86</v>
      </c>
      <c r="V28" s="192">
        <v>197.47</v>
      </c>
      <c r="W28" s="190"/>
      <c r="X28" s="371"/>
      <c r="Y28" s="370">
        <f>SUM(U28:X28)</f>
        <v>383.33000000000004</v>
      </c>
      <c r="Z28" s="44">
        <f t="shared" si="21"/>
        <v>8.554678259472343</v>
      </c>
      <c r="AA28" s="56">
        <f t="shared" si="16"/>
        <v>-0.46060468228459023</v>
      </c>
      <c r="AB28" s="39">
        <f t="shared" si="12"/>
        <v>11.348450021743195</v>
      </c>
      <c r="AC28" s="39">
        <f t="shared" si="7"/>
        <v>-7.098541030488091</v>
      </c>
      <c r="AD28" s="44">
        <f t="shared" si="8"/>
        <v>-16.566904208032625</v>
      </c>
      <c r="AE28" s="41">
        <f t="shared" si="9"/>
        <v>18.446991052231287</v>
      </c>
    </row>
    <row r="29" spans="1:31" ht="14.25" customHeight="1">
      <c r="A29" s="51">
        <v>21</v>
      </c>
      <c r="B29" s="163" t="s">
        <v>11</v>
      </c>
      <c r="C29" s="126">
        <f>D29/$D$31*100</f>
        <v>9.746471210056978</v>
      </c>
      <c r="D29" s="176">
        <v>3575.53</v>
      </c>
      <c r="E29" s="193">
        <v>3420.43</v>
      </c>
      <c r="F29" s="234">
        <v>3564.72</v>
      </c>
      <c r="G29" s="186">
        <v>3842.25</v>
      </c>
      <c r="H29" s="40">
        <f>D29+E29</f>
        <v>6995.96</v>
      </c>
      <c r="I29" s="193">
        <v>439.18</v>
      </c>
      <c r="J29" s="193">
        <v>419.17</v>
      </c>
      <c r="K29" s="190">
        <v>348.43</v>
      </c>
      <c r="L29" s="190">
        <v>482.97</v>
      </c>
      <c r="M29" s="40">
        <f>I29+J29</f>
        <v>858.35</v>
      </c>
      <c r="N29" s="55">
        <f t="shared" si="2"/>
        <v>12.269223952109504</v>
      </c>
      <c r="O29" s="43">
        <f t="shared" si="24"/>
        <v>9.724433548655018</v>
      </c>
      <c r="P29" s="364">
        <v>3960.16</v>
      </c>
      <c r="Q29" s="192">
        <v>3795.42</v>
      </c>
      <c r="R29" s="234"/>
      <c r="S29" s="186"/>
      <c r="T29" s="53">
        <f>SUM(P29:S29)</f>
        <v>7755.58</v>
      </c>
      <c r="U29" s="193">
        <v>425.02</v>
      </c>
      <c r="V29" s="192">
        <v>344.9</v>
      </c>
      <c r="W29" s="190"/>
      <c r="X29" s="371"/>
      <c r="Y29" s="370">
        <f>SUM(U29:X29)</f>
        <v>769.92</v>
      </c>
      <c r="Z29" s="55">
        <f t="shared" si="21"/>
        <v>9.927303954056304</v>
      </c>
      <c r="AA29" s="56">
        <f>(O29-C29)/C29*100</f>
        <v>-0.22610913146924608</v>
      </c>
      <c r="AB29" s="52">
        <f t="shared" si="12"/>
        <v>10.857980891828998</v>
      </c>
      <c r="AC29" s="39">
        <f t="shared" si="7"/>
        <v>-10.302324226714052</v>
      </c>
      <c r="AD29" s="55">
        <f t="shared" si="8"/>
        <v>-19.08775980611669</v>
      </c>
      <c r="AE29" s="54">
        <f t="shared" si="9"/>
        <v>21.16030511854305</v>
      </c>
    </row>
    <row r="30" spans="1:31" ht="24" customHeight="1" thickBot="1">
      <c r="A30" s="425" t="s">
        <v>49</v>
      </c>
      <c r="B30" s="426"/>
      <c r="C30" s="69">
        <f>SUM(C27:C29)</f>
        <v>22.03998276558079</v>
      </c>
      <c r="D30" s="349">
        <f aca="true" t="shared" si="27" ref="D30:M30">SUM(D27:D29)</f>
        <v>8124.1</v>
      </c>
      <c r="E30" s="70">
        <f t="shared" si="27"/>
        <v>7695.209999999999</v>
      </c>
      <c r="F30" s="145">
        <f t="shared" si="27"/>
        <v>8054.1</v>
      </c>
      <c r="G30" s="69">
        <f t="shared" si="27"/>
        <v>8508.57</v>
      </c>
      <c r="H30" s="70">
        <f t="shared" si="27"/>
        <v>15819.310000000001</v>
      </c>
      <c r="I30" s="314">
        <f t="shared" si="27"/>
        <v>858.75</v>
      </c>
      <c r="J30" s="70">
        <f t="shared" si="27"/>
        <v>843.22</v>
      </c>
      <c r="K30" s="70">
        <f t="shared" si="27"/>
        <v>753.97</v>
      </c>
      <c r="L30" s="70">
        <f t="shared" si="27"/>
        <v>937.5</v>
      </c>
      <c r="M30" s="70">
        <f t="shared" si="27"/>
        <v>1701.97</v>
      </c>
      <c r="N30" s="74">
        <f t="shared" si="2"/>
        <v>10.75881312143197</v>
      </c>
      <c r="O30" s="365">
        <f>SUM(O27:O29)</f>
        <v>21.897059365640697</v>
      </c>
      <c r="P30" s="366">
        <f aca="true" t="shared" si="28" ref="P30:Y30">SUM(P27:P29)</f>
        <v>8888.03</v>
      </c>
      <c r="Q30" s="78">
        <f t="shared" si="28"/>
        <v>8575.65</v>
      </c>
      <c r="R30" s="366">
        <f t="shared" si="28"/>
        <v>0</v>
      </c>
      <c r="S30" s="76">
        <f t="shared" si="28"/>
        <v>0</v>
      </c>
      <c r="T30" s="78">
        <f t="shared" si="28"/>
        <v>17463.68</v>
      </c>
      <c r="U30" s="368">
        <f>SUM(U27:U29)</f>
        <v>829.62</v>
      </c>
      <c r="V30" s="78">
        <v>724.65</v>
      </c>
      <c r="W30" s="78"/>
      <c r="X30" s="402"/>
      <c r="Y30" s="403">
        <f t="shared" si="28"/>
        <v>1554.27</v>
      </c>
      <c r="Z30" s="68">
        <f t="shared" si="21"/>
        <v>8.900014200901527</v>
      </c>
      <c r="AA30" s="394">
        <f t="shared" si="16"/>
        <v>-0.6484732835784736</v>
      </c>
      <c r="AB30" s="73">
        <f t="shared" si="12"/>
        <v>10.394701159532236</v>
      </c>
      <c r="AC30" s="73">
        <f t="shared" si="7"/>
        <v>-8.678178816312863</v>
      </c>
      <c r="AD30" s="74">
        <f t="shared" si="8"/>
        <v>-17.276988637600223</v>
      </c>
      <c r="AE30" s="71">
        <f t="shared" si="9"/>
        <v>19.072879975845098</v>
      </c>
    </row>
    <row r="31" spans="1:31" ht="27" customHeight="1" thickBot="1">
      <c r="A31" s="63"/>
      <c r="B31" s="64" t="s">
        <v>0</v>
      </c>
      <c r="C31" s="65">
        <f>C12+C20+C26+C30</f>
        <v>100.12273879495618</v>
      </c>
      <c r="D31" s="372">
        <f>D12+D20+D26+D30</f>
        <v>36685.38</v>
      </c>
      <c r="E31" s="66">
        <f>SUM(E6:E28)</f>
        <v>59868.52000000001</v>
      </c>
      <c r="F31" s="263">
        <f>SUM(F6:F28)</f>
        <v>62367.41999999999</v>
      </c>
      <c r="G31" s="67">
        <f>SUM(G6:G28)</f>
        <v>63123.04</v>
      </c>
      <c r="H31" s="372">
        <f>H12+H20+H26+H30</f>
        <v>72177.45999999999</v>
      </c>
      <c r="I31" s="363">
        <f>I30+I26+I20+I12</f>
        <v>4207.53</v>
      </c>
      <c r="J31" s="350">
        <f>J30+J26+J20+J12</f>
        <v>4160.56</v>
      </c>
      <c r="K31" s="353">
        <f>K30+K26+K20+K12</f>
        <v>4109.68</v>
      </c>
      <c r="L31" s="354">
        <f>L30+L26+L20+L12</f>
        <v>4408.3</v>
      </c>
      <c r="M31" s="354">
        <f>M30+M26+M20+M12</f>
        <v>8368.09</v>
      </c>
      <c r="N31" s="355">
        <f t="shared" si="2"/>
        <v>11.593771795239125</v>
      </c>
      <c r="O31" s="406">
        <f>O12+O20+O26+O30</f>
        <v>100</v>
      </c>
      <c r="P31" s="407">
        <f>P12+P20+P26+P30</f>
        <v>39932.96</v>
      </c>
      <c r="Q31" s="81">
        <f>SUM(Q6:Q28)</f>
        <v>67270.09</v>
      </c>
      <c r="R31" s="408">
        <f>SUM(R6:R28)</f>
        <v>0</v>
      </c>
      <c r="S31" s="80">
        <f>SUM(S6:S28)</f>
        <v>0</v>
      </c>
      <c r="T31" s="81">
        <f aca="true" t="shared" si="29" ref="T31:Y31">T30+T26+T20+T12</f>
        <v>79753.54000000001</v>
      </c>
      <c r="U31" s="409">
        <f>U30+U26+U20+U12</f>
        <v>3996.1099999999997</v>
      </c>
      <c r="V31" s="81">
        <v>3904.1499999999996</v>
      </c>
      <c r="W31" s="81">
        <f t="shared" si="29"/>
        <v>0</v>
      </c>
      <c r="X31" s="81">
        <f t="shared" si="29"/>
        <v>0</v>
      </c>
      <c r="Y31" s="81">
        <f t="shared" si="29"/>
        <v>7900.26</v>
      </c>
      <c r="Z31" s="82">
        <f aca="true" t="shared" si="30" ref="Z31:Z37">Y31/T31*100</f>
        <v>9.905842424047885</v>
      </c>
      <c r="AA31" s="410">
        <f t="shared" si="16"/>
        <v>-0.12258833151531856</v>
      </c>
      <c r="AB31" s="87">
        <f t="shared" si="12"/>
        <v>10.496462469031215</v>
      </c>
      <c r="AC31" s="87">
        <f t="shared" si="7"/>
        <v>-5.590642548060548</v>
      </c>
      <c r="AD31" s="87">
        <f t="shared" si="8"/>
        <v>-14.558932166358257</v>
      </c>
      <c r="AE31" s="88">
        <f t="shared" si="9"/>
        <v>16.087105017091762</v>
      </c>
    </row>
    <row r="32" spans="1:31" ht="14.25" customHeight="1">
      <c r="A32" s="45">
        <v>22</v>
      </c>
      <c r="B32" s="101" t="s">
        <v>19</v>
      </c>
      <c r="C32" s="46">
        <f>H32/$T$31*100</f>
        <v>21.414284557149436</v>
      </c>
      <c r="D32" s="178">
        <v>8389.96</v>
      </c>
      <c r="E32" s="194">
        <v>8688.69</v>
      </c>
      <c r="F32" s="262">
        <v>8382.64</v>
      </c>
      <c r="G32" s="188">
        <v>9170.88</v>
      </c>
      <c r="H32" s="40">
        <f>D32+E32</f>
        <v>17078.65</v>
      </c>
      <c r="I32" s="195">
        <v>1525.3</v>
      </c>
      <c r="J32" s="351">
        <v>1476.33</v>
      </c>
      <c r="K32" s="356">
        <v>1243.53</v>
      </c>
      <c r="L32" s="188">
        <v>1641.76</v>
      </c>
      <c r="M32" s="40">
        <f>I32+J32</f>
        <v>3001.63</v>
      </c>
      <c r="N32" s="49">
        <f t="shared" si="2"/>
        <v>17.575335287039664</v>
      </c>
      <c r="O32" s="398">
        <f>T32/$T$31*100</f>
        <v>22.80286241839547</v>
      </c>
      <c r="P32" s="388">
        <v>8906.64</v>
      </c>
      <c r="Q32" s="380">
        <v>9279.45</v>
      </c>
      <c r="R32" s="399"/>
      <c r="S32" s="404"/>
      <c r="T32" s="93">
        <f>SUM(P32:S32)</f>
        <v>18186.09</v>
      </c>
      <c r="U32" s="405">
        <v>1534.34</v>
      </c>
      <c r="V32" s="380">
        <v>1735.77</v>
      </c>
      <c r="W32" s="404"/>
      <c r="X32" s="404"/>
      <c r="Y32" s="93">
        <f>SUM(U32:X32)</f>
        <v>3270.1099999999997</v>
      </c>
      <c r="Z32" s="345">
        <f t="shared" si="30"/>
        <v>17.981380274704456</v>
      </c>
      <c r="AA32" s="102"/>
      <c r="AB32" s="103">
        <f t="shared" si="12"/>
        <v>6.484353271482222</v>
      </c>
      <c r="AC32" s="103">
        <f t="shared" si="7"/>
        <v>8.944473502730169</v>
      </c>
      <c r="AD32" s="103">
        <f t="shared" si="8"/>
        <v>2.3103114736264314</v>
      </c>
      <c r="AE32" s="104">
        <f t="shared" si="9"/>
        <v>-2.460120231247947</v>
      </c>
    </row>
    <row r="33" spans="1:31" ht="17.25" customHeight="1" thickBot="1">
      <c r="A33" s="105">
        <v>23</v>
      </c>
      <c r="B33" s="106" t="s">
        <v>20</v>
      </c>
      <c r="C33" s="108">
        <f>H33/$T$31*100</f>
        <v>7.953427521837901</v>
      </c>
      <c r="D33" s="312">
        <v>3420.1099999999997</v>
      </c>
      <c r="E33" s="373">
        <v>2923.03</v>
      </c>
      <c r="F33" s="264">
        <v>3543.92</v>
      </c>
      <c r="G33" s="189">
        <v>3546.17</v>
      </c>
      <c r="H33" s="40">
        <f>D33+E33</f>
        <v>6343.139999999999</v>
      </c>
      <c r="I33" s="196">
        <v>345.48</v>
      </c>
      <c r="J33" s="352">
        <v>336.86</v>
      </c>
      <c r="K33" s="357">
        <v>331.12</v>
      </c>
      <c r="L33" s="189">
        <v>334.77</v>
      </c>
      <c r="M33" s="40">
        <f>I33+J33</f>
        <v>682.34</v>
      </c>
      <c r="N33" s="358">
        <f t="shared" si="2"/>
        <v>10.75713290263182</v>
      </c>
      <c r="O33" s="362">
        <f>T33/$T$31*100</f>
        <v>8.990810940805886</v>
      </c>
      <c r="P33" s="360">
        <v>3575.95</v>
      </c>
      <c r="Q33" s="387">
        <v>3594.54</v>
      </c>
      <c r="R33" s="264"/>
      <c r="S33" s="189"/>
      <c r="T33" s="107">
        <f>SUM(P33:S33)</f>
        <v>7170.49</v>
      </c>
      <c r="U33" s="196">
        <v>299.24</v>
      </c>
      <c r="V33" s="387">
        <v>252.97</v>
      </c>
      <c r="W33" s="189"/>
      <c r="X33" s="189"/>
      <c r="Y33" s="107">
        <f>SUM(U33:X33)</f>
        <v>552.21</v>
      </c>
      <c r="Z33" s="358">
        <f t="shared" si="30"/>
        <v>7.70114734139508</v>
      </c>
      <c r="AA33" s="109"/>
      <c r="AB33" s="110">
        <f t="shared" si="12"/>
        <v>13.043224648990886</v>
      </c>
      <c r="AC33" s="110">
        <f t="shared" si="7"/>
        <v>-19.071137556057096</v>
      </c>
      <c r="AD33" s="110">
        <f t="shared" si="8"/>
        <v>-28.40892260882143</v>
      </c>
      <c r="AE33" s="111">
        <f t="shared" si="9"/>
        <v>32.11436220504798</v>
      </c>
    </row>
    <row r="34" spans="1:31" ht="18.75" customHeight="1">
      <c r="A34" s="89">
        <v>24</v>
      </c>
      <c r="B34" s="90" t="s">
        <v>21</v>
      </c>
      <c r="C34" s="91">
        <f>H34/$H$37*100</f>
        <v>2.503254891816508</v>
      </c>
      <c r="D34" s="92">
        <v>1008.5999999999999</v>
      </c>
      <c r="E34" s="92">
        <v>1447.44</v>
      </c>
      <c r="F34" s="92">
        <v>1343.3</v>
      </c>
      <c r="G34" s="92"/>
      <c r="H34" s="40">
        <f>D34+E34</f>
        <v>2456.04</v>
      </c>
      <c r="I34" s="94">
        <v>466.15</v>
      </c>
      <c r="J34" s="94">
        <v>730.26</v>
      </c>
      <c r="K34" s="94">
        <v>579.59</v>
      </c>
      <c r="L34" s="94"/>
      <c r="M34" s="40">
        <f>I34+J34</f>
        <v>1196.4099999999999</v>
      </c>
      <c r="N34" s="95">
        <f>M34/H34*100</f>
        <v>48.71296884415563</v>
      </c>
      <c r="O34" s="96">
        <f>T34/$T$37*100</f>
        <v>5.6166113514869656</v>
      </c>
      <c r="P34" s="94">
        <v>1658.58</v>
      </c>
      <c r="Q34" s="380">
        <v>2870.74</v>
      </c>
      <c r="R34" s="94">
        <v>1736.78</v>
      </c>
      <c r="S34" s="94"/>
      <c r="T34" s="93">
        <f>SUM(P34:S34)</f>
        <v>6266.099999999999</v>
      </c>
      <c r="U34" s="94">
        <v>895.38</v>
      </c>
      <c r="V34" s="380">
        <v>1219.84</v>
      </c>
      <c r="W34" s="94"/>
      <c r="X34" s="94"/>
      <c r="Y34" s="93">
        <f>SUM(U34:X34)</f>
        <v>2115.22</v>
      </c>
      <c r="Z34" s="97">
        <f t="shared" si="30"/>
        <v>33.75656309347122</v>
      </c>
      <c r="AA34" s="98"/>
      <c r="AB34" s="99">
        <f t="shared" si="12"/>
        <v>155.13020960570674</v>
      </c>
      <c r="AC34" s="99">
        <f t="shared" si="7"/>
        <v>76.79725177823656</v>
      </c>
      <c r="AD34" s="99">
        <f t="shared" si="8"/>
        <v>-30.703129178050116</v>
      </c>
      <c r="AE34" s="100">
        <f t="shared" si="9"/>
        <v>78.33295782747018</v>
      </c>
    </row>
    <row r="35" spans="1:31" ht="24" customHeight="1">
      <c r="A35" s="1">
        <v>25</v>
      </c>
      <c r="B35" s="2" t="s">
        <v>23</v>
      </c>
      <c r="C35" s="38">
        <f>H35/$H$37*100</f>
        <v>0.05969594917578415</v>
      </c>
      <c r="D35" s="4">
        <v>30.060000000000002</v>
      </c>
      <c r="E35" s="4">
        <v>28.51</v>
      </c>
      <c r="F35" s="4">
        <v>34.55</v>
      </c>
      <c r="G35" s="4"/>
      <c r="H35" s="40">
        <f>D35+E35</f>
        <v>58.57000000000001</v>
      </c>
      <c r="I35" s="34">
        <v>2.33</v>
      </c>
      <c r="J35" s="34">
        <v>3.85</v>
      </c>
      <c r="K35" s="34">
        <v>3.4</v>
      </c>
      <c r="L35" s="34"/>
      <c r="M35" s="40">
        <f>I35+J35</f>
        <v>6.18</v>
      </c>
      <c r="N35" s="54">
        <f>M35/H35*100</f>
        <v>10.551476865289395</v>
      </c>
      <c r="O35" s="42">
        <f>T35/$T$37*100</f>
        <v>0.16805644057552407</v>
      </c>
      <c r="P35" s="34">
        <v>25.11</v>
      </c>
      <c r="Q35" s="192">
        <v>88.21</v>
      </c>
      <c r="R35" s="34">
        <v>74.17000000000002</v>
      </c>
      <c r="S35" s="34"/>
      <c r="T35" s="40">
        <f>SUM(P35:S35)</f>
        <v>187.49</v>
      </c>
      <c r="U35" s="34">
        <v>3</v>
      </c>
      <c r="V35" s="192">
        <v>6.71</v>
      </c>
      <c r="W35" s="34"/>
      <c r="X35" s="34"/>
      <c r="Y35" s="40">
        <f>SUM(U35:X35)</f>
        <v>9.71</v>
      </c>
      <c r="Z35" s="44">
        <f t="shared" si="30"/>
        <v>5.178942876953438</v>
      </c>
      <c r="AA35" s="85"/>
      <c r="AB35" s="56">
        <f t="shared" si="12"/>
        <v>220.1126856752604</v>
      </c>
      <c r="AC35" s="56">
        <f t="shared" si="7"/>
        <v>57.11974110032365</v>
      </c>
      <c r="AD35" s="56">
        <f t="shared" si="8"/>
        <v>-50.9173649994882</v>
      </c>
      <c r="AE35" s="86">
        <f t="shared" si="9"/>
        <v>162.99294457493676</v>
      </c>
    </row>
    <row r="36" spans="1:31" s="58" customFormat="1" ht="24" customHeight="1" thickBot="1">
      <c r="A36" s="439" t="s">
        <v>55</v>
      </c>
      <c r="B36" s="440"/>
      <c r="C36" s="76">
        <f aca="true" t="shared" si="31" ref="C36:M36">SUM(C32:C35)</f>
        <v>31.93066291997963</v>
      </c>
      <c r="D36" s="77">
        <f t="shared" si="31"/>
        <v>12848.73</v>
      </c>
      <c r="E36" s="77">
        <f t="shared" si="31"/>
        <v>13087.670000000002</v>
      </c>
      <c r="F36" s="77">
        <f t="shared" si="31"/>
        <v>13304.409999999998</v>
      </c>
      <c r="G36" s="77">
        <f t="shared" si="31"/>
        <v>12717.05</v>
      </c>
      <c r="H36" s="78">
        <f t="shared" si="31"/>
        <v>25936.4</v>
      </c>
      <c r="I36" s="78">
        <f t="shared" si="31"/>
        <v>2339.2599999999998</v>
      </c>
      <c r="J36" s="78">
        <f t="shared" si="31"/>
        <v>2547.2999999999997</v>
      </c>
      <c r="K36" s="78">
        <f t="shared" si="31"/>
        <v>2157.6400000000003</v>
      </c>
      <c r="L36" s="78">
        <f t="shared" si="31"/>
        <v>1976.53</v>
      </c>
      <c r="M36" s="78">
        <f t="shared" si="31"/>
        <v>4886.56</v>
      </c>
      <c r="N36" s="68">
        <f>M36/H36*100</f>
        <v>18.840548418438953</v>
      </c>
      <c r="O36" s="76">
        <f aca="true" t="shared" si="32" ref="O36:Y36">SUM(O32:O35)</f>
        <v>37.57834115126385</v>
      </c>
      <c r="P36" s="78">
        <f>SUM(P32:P35)</f>
        <v>14166.28</v>
      </c>
      <c r="Q36" s="78">
        <f t="shared" si="32"/>
        <v>15832.94</v>
      </c>
      <c r="R36" s="78">
        <f t="shared" si="32"/>
        <v>1810.95</v>
      </c>
      <c r="S36" s="78">
        <f t="shared" si="32"/>
        <v>0</v>
      </c>
      <c r="T36" s="78">
        <f t="shared" si="32"/>
        <v>31810.170000000002</v>
      </c>
      <c r="U36" s="78">
        <f t="shared" si="32"/>
        <v>2731.96</v>
      </c>
      <c r="V36" s="70">
        <v>3215.29</v>
      </c>
      <c r="W36" s="78">
        <f t="shared" si="32"/>
        <v>0</v>
      </c>
      <c r="X36" s="78">
        <f t="shared" si="32"/>
        <v>0</v>
      </c>
      <c r="Y36" s="78">
        <f t="shared" si="32"/>
        <v>5947.249999999999</v>
      </c>
      <c r="Z36" s="75">
        <f t="shared" si="30"/>
        <v>18.696064811976797</v>
      </c>
      <c r="AA36" s="72"/>
      <c r="AB36" s="73">
        <f t="shared" si="12"/>
        <v>22.646820684443487</v>
      </c>
      <c r="AC36" s="73">
        <f t="shared" si="7"/>
        <v>21.706271896794444</v>
      </c>
      <c r="AD36" s="73">
        <f t="shared" si="8"/>
        <v>-0.7668758002859</v>
      </c>
      <c r="AE36" s="71">
        <f t="shared" si="9"/>
        <v>0.9405487876490426</v>
      </c>
    </row>
    <row r="37" spans="1:31" s="58" customFormat="1" ht="21.75" customHeight="1" thickBot="1">
      <c r="A37" s="434" t="s">
        <v>27</v>
      </c>
      <c r="B37" s="435"/>
      <c r="C37" s="79"/>
      <c r="D37" s="80">
        <f>D36+D31</f>
        <v>49534.11</v>
      </c>
      <c r="E37" s="80">
        <f aca="true" t="shared" si="33" ref="E37:M37">E36+E31</f>
        <v>72956.19000000002</v>
      </c>
      <c r="F37" s="80">
        <f t="shared" si="33"/>
        <v>75671.82999999999</v>
      </c>
      <c r="G37" s="80">
        <f t="shared" si="33"/>
        <v>75840.09</v>
      </c>
      <c r="H37" s="81">
        <f t="shared" si="33"/>
        <v>98113.85999999999</v>
      </c>
      <c r="I37" s="81">
        <f t="shared" si="33"/>
        <v>6546.789999999999</v>
      </c>
      <c r="J37" s="81">
        <f t="shared" si="33"/>
        <v>6707.860000000001</v>
      </c>
      <c r="K37" s="81">
        <f t="shared" si="33"/>
        <v>6267.320000000001</v>
      </c>
      <c r="L37" s="81">
        <f t="shared" si="33"/>
        <v>6384.83</v>
      </c>
      <c r="M37" s="81">
        <f t="shared" si="33"/>
        <v>13254.650000000001</v>
      </c>
      <c r="N37" s="82">
        <f>M37/H37*100</f>
        <v>13.509457277493722</v>
      </c>
      <c r="O37" s="81"/>
      <c r="P37" s="81">
        <f aca="true" t="shared" si="34" ref="P37:Y37">P36+P31</f>
        <v>54099.24</v>
      </c>
      <c r="Q37" s="81">
        <f t="shared" si="34"/>
        <v>83103.03</v>
      </c>
      <c r="R37" s="81">
        <f t="shared" si="34"/>
        <v>1810.95</v>
      </c>
      <c r="S37" s="81">
        <f t="shared" si="34"/>
        <v>0</v>
      </c>
      <c r="T37" s="81">
        <f t="shared" si="34"/>
        <v>111563.71</v>
      </c>
      <c r="U37" s="81">
        <f t="shared" si="34"/>
        <v>6728.07</v>
      </c>
      <c r="V37" s="386">
        <f t="shared" si="34"/>
        <v>7119.44</v>
      </c>
      <c r="W37" s="81">
        <f t="shared" si="34"/>
        <v>0</v>
      </c>
      <c r="X37" s="81">
        <f t="shared" si="34"/>
        <v>0</v>
      </c>
      <c r="Y37" s="81">
        <f t="shared" si="34"/>
        <v>13847.509999999998</v>
      </c>
      <c r="Z37" s="83">
        <f t="shared" si="30"/>
        <v>12.412199271609019</v>
      </c>
      <c r="AA37" s="84"/>
      <c r="AB37" s="84">
        <f t="shared" si="12"/>
        <v>13.70840980061331</v>
      </c>
      <c r="AC37" s="84">
        <f t="shared" si="7"/>
        <v>4.472845378791571</v>
      </c>
      <c r="AD37" s="84">
        <f t="shared" si="8"/>
        <v>-8.122147199152815</v>
      </c>
      <c r="AE37" s="82">
        <f t="shared" si="9"/>
        <v>9.235564421821739</v>
      </c>
    </row>
    <row r="38" spans="1:13" ht="21.75" customHeight="1">
      <c r="A38" s="3" t="s">
        <v>44</v>
      </c>
      <c r="B38" s="57" t="s">
        <v>56</v>
      </c>
      <c r="M38" s="3" t="s">
        <v>57</v>
      </c>
    </row>
    <row r="43" ht="2.25" customHeight="1"/>
    <row r="45" spans="13:29" ht="14.25">
      <c r="M45" s="17"/>
      <c r="Y45" s="17"/>
      <c r="AC45" s="17"/>
    </row>
  </sheetData>
  <sheetProtection/>
  <mergeCells count="22">
    <mergeCell ref="AD1:AE1"/>
    <mergeCell ref="A2:AD2"/>
    <mergeCell ref="A3:A5"/>
    <mergeCell ref="B3:B5"/>
    <mergeCell ref="C3:N3"/>
    <mergeCell ref="AE3:AE5"/>
    <mergeCell ref="A20:B20"/>
    <mergeCell ref="I4:N4"/>
    <mergeCell ref="AA4:AA5"/>
    <mergeCell ref="O3:Z3"/>
    <mergeCell ref="AB4:AD4"/>
    <mergeCell ref="P4:T4"/>
    <mergeCell ref="A12:B12"/>
    <mergeCell ref="D4:H4"/>
    <mergeCell ref="U4:Z4"/>
    <mergeCell ref="AA3:AD3"/>
    <mergeCell ref="A37:B37"/>
    <mergeCell ref="A26:B26"/>
    <mergeCell ref="A30:B30"/>
    <mergeCell ref="O4:O5"/>
    <mergeCell ref="C4:C5"/>
    <mergeCell ref="A36:B36"/>
  </mergeCells>
  <printOptions horizontalCentered="1"/>
  <pageMargins left="0.3937007874015748" right="0" top="0.3937007874015748" bottom="0.5905511811023623" header="0.31496062992125984" footer="0.31496062992125984"/>
  <pageSetup horizontalDpi="600" verticalDpi="600" orientation="landscape" paperSize="9" scale="65" r:id="rId1"/>
  <headerFooter>
    <oddFooter>&amp;CPage 2 of 3</oddFooter>
  </headerFooter>
  <colBreaks count="1" manualBreakCount="1">
    <brk id="3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L36"/>
  <sheetViews>
    <sheetView zoomScaleSheetLayoutView="10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D5" sqref="AD5"/>
    </sheetView>
  </sheetViews>
  <sheetFormatPr defaultColWidth="9.140625" defaultRowHeight="12.75"/>
  <cols>
    <col min="1" max="1" width="9.00390625" style="3" customWidth="1"/>
    <col min="2" max="2" width="21.7109375" style="3" customWidth="1"/>
    <col min="3" max="3" width="7.7109375" style="3" hidden="1" customWidth="1"/>
    <col min="4" max="4" width="10.8515625" style="3" hidden="1" customWidth="1"/>
    <col min="5" max="5" width="11.140625" style="3" hidden="1" customWidth="1"/>
    <col min="6" max="6" width="11.00390625" style="3" hidden="1" customWidth="1"/>
    <col min="7" max="7" width="12.8515625" style="3" customWidth="1"/>
    <col min="8" max="8" width="7.7109375" style="3" hidden="1" customWidth="1"/>
    <col min="9" max="9" width="9.28125" style="3" hidden="1" customWidth="1"/>
    <col min="10" max="10" width="8.00390625" style="3" hidden="1" customWidth="1"/>
    <col min="11" max="11" width="7.8515625" style="3" hidden="1" customWidth="1"/>
    <col min="12" max="12" width="12.140625" style="3" customWidth="1"/>
    <col min="13" max="13" width="14.140625" style="3" customWidth="1"/>
    <col min="14" max="14" width="8.421875" style="3" hidden="1" customWidth="1"/>
    <col min="15" max="16" width="8.00390625" style="3" hidden="1" customWidth="1"/>
    <col min="17" max="17" width="7.8515625" style="3" hidden="1" customWidth="1"/>
    <col min="18" max="18" width="12.8515625" style="3" customWidth="1"/>
    <col min="19" max="19" width="7.7109375" style="3" hidden="1" customWidth="1"/>
    <col min="20" max="21" width="8.00390625" style="3" hidden="1" customWidth="1"/>
    <col min="22" max="22" width="7.8515625" style="3" hidden="1" customWidth="1"/>
    <col min="23" max="23" width="13.140625" style="3" customWidth="1"/>
    <col min="24" max="24" width="13.8515625" style="3" customWidth="1"/>
    <col min="25" max="25" width="13.7109375" style="3" customWidth="1"/>
    <col min="26" max="26" width="11.57421875" style="3" customWidth="1"/>
    <col min="27" max="27" width="14.140625" style="3" customWidth="1"/>
    <col min="28" max="16384" width="9.140625" style="3" customWidth="1"/>
  </cols>
  <sheetData>
    <row r="1" spans="25:27" ht="28.5" customHeight="1">
      <c r="Y1" s="447" t="s">
        <v>75</v>
      </c>
      <c r="Z1" s="447"/>
      <c r="AA1" s="447"/>
    </row>
    <row r="2" spans="1:38" ht="33" customHeight="1" thickBot="1">
      <c r="A2" s="458" t="s">
        <v>165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8"/>
      <c r="W2" s="458"/>
      <c r="X2" s="458"/>
      <c r="Y2" s="458"/>
      <c r="Z2" s="458"/>
      <c r="AA2" s="458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</row>
    <row r="3" spans="1:27" s="16" customFormat="1" ht="39" customHeight="1">
      <c r="A3" s="449" t="s">
        <v>74</v>
      </c>
      <c r="B3" s="452" t="s">
        <v>41</v>
      </c>
      <c r="C3" s="460" t="s">
        <v>70</v>
      </c>
      <c r="D3" s="461"/>
      <c r="E3" s="461"/>
      <c r="F3" s="461"/>
      <c r="G3" s="461"/>
      <c r="H3" s="461"/>
      <c r="I3" s="461"/>
      <c r="J3" s="461"/>
      <c r="K3" s="461"/>
      <c r="L3" s="461"/>
      <c r="M3" s="462"/>
      <c r="N3" s="431" t="s">
        <v>71</v>
      </c>
      <c r="O3" s="432"/>
      <c r="P3" s="432"/>
      <c r="Q3" s="432"/>
      <c r="R3" s="432"/>
      <c r="S3" s="432"/>
      <c r="T3" s="432"/>
      <c r="U3" s="432"/>
      <c r="V3" s="432"/>
      <c r="W3" s="432"/>
      <c r="X3" s="445"/>
      <c r="Y3" s="460" t="s">
        <v>72</v>
      </c>
      <c r="Z3" s="461"/>
      <c r="AA3" s="462"/>
    </row>
    <row r="4" spans="1:27" s="16" customFormat="1" ht="54.75" customHeight="1" thickBot="1">
      <c r="A4" s="451"/>
      <c r="B4" s="459"/>
      <c r="C4" s="167">
        <v>41426</v>
      </c>
      <c r="D4" s="167">
        <v>41518</v>
      </c>
      <c r="E4" s="167">
        <v>41609</v>
      </c>
      <c r="F4" s="167">
        <v>41699</v>
      </c>
      <c r="G4" s="140" t="s">
        <v>81</v>
      </c>
      <c r="H4" s="167">
        <v>41791</v>
      </c>
      <c r="I4" s="167">
        <v>41883</v>
      </c>
      <c r="J4" s="167">
        <v>41974</v>
      </c>
      <c r="K4" s="167">
        <v>42094</v>
      </c>
      <c r="L4" s="59" t="s">
        <v>149</v>
      </c>
      <c r="M4" s="316" t="s">
        <v>73</v>
      </c>
      <c r="N4" s="167">
        <v>41426</v>
      </c>
      <c r="O4" s="167">
        <v>41518</v>
      </c>
      <c r="P4" s="167">
        <v>41609</v>
      </c>
      <c r="Q4" s="167">
        <v>41699</v>
      </c>
      <c r="R4" s="59" t="s">
        <v>81</v>
      </c>
      <c r="S4" s="167">
        <v>41791</v>
      </c>
      <c r="T4" s="167">
        <v>41883</v>
      </c>
      <c r="U4" s="167">
        <v>41974</v>
      </c>
      <c r="V4" s="167">
        <v>42094</v>
      </c>
      <c r="W4" s="59" t="s">
        <v>149</v>
      </c>
      <c r="X4" s="61" t="s">
        <v>73</v>
      </c>
      <c r="Y4" s="140" t="s">
        <v>81</v>
      </c>
      <c r="Z4" s="59" t="s">
        <v>149</v>
      </c>
      <c r="AA4" s="61" t="s">
        <v>73</v>
      </c>
    </row>
    <row r="5" spans="1:27" ht="14.25">
      <c r="A5" s="36">
        <v>1</v>
      </c>
      <c r="B5" s="158" t="s">
        <v>2</v>
      </c>
      <c r="C5" s="209">
        <v>33.01</v>
      </c>
      <c r="D5" s="197">
        <v>32.15</v>
      </c>
      <c r="E5" s="197">
        <v>32.02</v>
      </c>
      <c r="F5" s="198">
        <v>35.4</v>
      </c>
      <c r="G5" s="181">
        <f aca="true" t="shared" si="0" ref="G5:G10">C5+D5</f>
        <v>65.16</v>
      </c>
      <c r="H5" s="209">
        <v>31.51</v>
      </c>
      <c r="I5">
        <v>15.55</v>
      </c>
      <c r="J5" s="197"/>
      <c r="K5" s="198"/>
      <c r="L5" s="142">
        <f aca="true" t="shared" si="1" ref="L5:L10">K5+J5+I5+H5</f>
        <v>47.06</v>
      </c>
      <c r="M5" s="332">
        <f>(L5-G5)/G5*100</f>
        <v>-27.777777777777768</v>
      </c>
      <c r="N5" s="212">
        <v>65.44</v>
      </c>
      <c r="O5" s="203">
        <v>65.16</v>
      </c>
      <c r="P5" s="203">
        <v>64.3</v>
      </c>
      <c r="Q5" s="204">
        <v>63.46</v>
      </c>
      <c r="R5" s="40">
        <f aca="true" t="shared" si="2" ref="R5:R10">Q5+O5</f>
        <v>128.62</v>
      </c>
      <c r="S5" s="212">
        <v>58.99</v>
      </c>
      <c r="T5">
        <v>59.96</v>
      </c>
      <c r="U5" s="203"/>
      <c r="V5" s="204"/>
      <c r="W5" s="40">
        <f aca="true" t="shared" si="3" ref="W5:W10">V5+U5+T5+S5</f>
        <v>118.95</v>
      </c>
      <c r="X5" s="184">
        <f>(W5-R5)/R5*100</f>
        <v>-7.518270875447055</v>
      </c>
      <c r="Y5" s="141">
        <f aca="true" t="shared" si="4" ref="Y5:Y10">R5+G5</f>
        <v>193.78</v>
      </c>
      <c r="Z5" s="142">
        <f aca="true" t="shared" si="5" ref="Z5:Z10">W5+L5</f>
        <v>166.01</v>
      </c>
      <c r="AA5" s="217">
        <f>(Z5-Y5)/Y5*100</f>
        <v>-14.330684281143572</v>
      </c>
    </row>
    <row r="6" spans="1:27" ht="14.25" customHeight="1">
      <c r="A6" s="36">
        <v>2</v>
      </c>
      <c r="B6" s="158" t="s">
        <v>3</v>
      </c>
      <c r="C6" s="210">
        <v>49.66</v>
      </c>
      <c r="D6" s="199">
        <v>35.37</v>
      </c>
      <c r="E6" s="199">
        <v>47.77</v>
      </c>
      <c r="F6" s="200">
        <v>56.11</v>
      </c>
      <c r="G6" s="181">
        <f t="shared" si="0"/>
        <v>85.03</v>
      </c>
      <c r="H6" s="210">
        <v>35.32</v>
      </c>
      <c r="I6">
        <v>56.88</v>
      </c>
      <c r="J6" s="199"/>
      <c r="K6" s="200"/>
      <c r="L6" s="142">
        <f t="shared" si="1"/>
        <v>92.2</v>
      </c>
      <c r="M6" s="169">
        <f aca="true" t="shared" si="6" ref="M6:M30">(L6-G6)/G6*100</f>
        <v>8.432318005409858</v>
      </c>
      <c r="N6" s="213">
        <v>89.02</v>
      </c>
      <c r="O6" s="205">
        <v>88.16</v>
      </c>
      <c r="P6" s="205">
        <v>80.73</v>
      </c>
      <c r="Q6" s="206">
        <v>84.02</v>
      </c>
      <c r="R6" s="40">
        <f t="shared" si="2"/>
        <v>172.18</v>
      </c>
      <c r="S6" s="213">
        <v>76.21</v>
      </c>
      <c r="T6">
        <v>72.11</v>
      </c>
      <c r="U6" s="205"/>
      <c r="V6" s="206"/>
      <c r="W6" s="40">
        <f t="shared" si="3"/>
        <v>148.32</v>
      </c>
      <c r="X6" s="143">
        <f aca="true" t="shared" si="7" ref="X6:X30">(W6-R6)/R6*100</f>
        <v>-13.857590893251256</v>
      </c>
      <c r="Y6" s="141">
        <f t="shared" si="4"/>
        <v>257.21000000000004</v>
      </c>
      <c r="Z6" s="142">
        <f t="shared" si="5"/>
        <v>240.51999999999998</v>
      </c>
      <c r="AA6" s="41">
        <f aca="true" t="shared" si="8" ref="AA6:AA30">(Z6-Y6)/Y6*100</f>
        <v>-6.488861241786887</v>
      </c>
    </row>
    <row r="7" spans="1:27" ht="14.25" customHeight="1">
      <c r="A7" s="36">
        <v>3</v>
      </c>
      <c r="B7" s="158" t="s">
        <v>52</v>
      </c>
      <c r="C7" s="210">
        <v>12.31</v>
      </c>
      <c r="D7" s="199">
        <v>12.07</v>
      </c>
      <c r="E7" s="199">
        <v>11.29</v>
      </c>
      <c r="F7" s="200">
        <v>15.6</v>
      </c>
      <c r="G7" s="181">
        <f t="shared" si="0"/>
        <v>24.380000000000003</v>
      </c>
      <c r="H7" s="210">
        <v>13.09</v>
      </c>
      <c r="I7">
        <v>15.87</v>
      </c>
      <c r="J7" s="199"/>
      <c r="K7" s="200"/>
      <c r="L7" s="142">
        <f t="shared" si="1"/>
        <v>28.96</v>
      </c>
      <c r="M7" s="169">
        <f t="shared" si="6"/>
        <v>18.785890073831</v>
      </c>
      <c r="N7" s="213">
        <v>50.95</v>
      </c>
      <c r="O7" s="205">
        <v>50.41</v>
      </c>
      <c r="P7" s="205">
        <v>52.01</v>
      </c>
      <c r="Q7" s="206">
        <v>56.11</v>
      </c>
      <c r="R7" s="40">
        <f t="shared" si="2"/>
        <v>106.52</v>
      </c>
      <c r="S7" s="213">
        <v>45.44</v>
      </c>
      <c r="T7">
        <v>45.93</v>
      </c>
      <c r="U7" s="205"/>
      <c r="V7" s="206"/>
      <c r="W7" s="40">
        <f t="shared" si="3"/>
        <v>91.37</v>
      </c>
      <c r="X7" s="184">
        <f t="shared" si="7"/>
        <v>-14.222681186631611</v>
      </c>
      <c r="Y7" s="141">
        <f t="shared" si="4"/>
        <v>130.9</v>
      </c>
      <c r="Z7" s="142">
        <f t="shared" si="5"/>
        <v>120.33000000000001</v>
      </c>
      <c r="AA7" s="217">
        <f t="shared" si="8"/>
        <v>-8.074866310160422</v>
      </c>
    </row>
    <row r="8" spans="1:27" ht="14.25" customHeight="1">
      <c r="A8" s="36">
        <v>4</v>
      </c>
      <c r="B8" s="159" t="s">
        <v>12</v>
      </c>
      <c r="C8" s="210">
        <v>45.76</v>
      </c>
      <c r="D8" s="199">
        <v>44.54</v>
      </c>
      <c r="E8" s="199">
        <v>36.81</v>
      </c>
      <c r="F8" s="200">
        <v>43.75</v>
      </c>
      <c r="G8" s="181">
        <f t="shared" si="0"/>
        <v>90.3</v>
      </c>
      <c r="H8" s="210">
        <v>46.41</v>
      </c>
      <c r="I8">
        <v>35.58</v>
      </c>
      <c r="J8" s="199"/>
      <c r="K8" s="200"/>
      <c r="L8" s="142">
        <f t="shared" si="1"/>
        <v>81.99</v>
      </c>
      <c r="M8" s="169">
        <f t="shared" si="6"/>
        <v>-9.202657807308972</v>
      </c>
      <c r="N8" s="213">
        <v>100.36</v>
      </c>
      <c r="O8" s="205">
        <v>117.8</v>
      </c>
      <c r="P8" s="205">
        <v>112.66</v>
      </c>
      <c r="Q8" s="206">
        <v>129.37</v>
      </c>
      <c r="R8" s="40">
        <f t="shared" si="2"/>
        <v>247.17000000000002</v>
      </c>
      <c r="S8" s="213">
        <v>107.44</v>
      </c>
      <c r="T8">
        <v>99.02</v>
      </c>
      <c r="U8" s="205"/>
      <c r="V8" s="206"/>
      <c r="W8" s="40">
        <f t="shared" si="3"/>
        <v>206.45999999999998</v>
      </c>
      <c r="X8" s="184">
        <f t="shared" si="7"/>
        <v>-16.47044544240807</v>
      </c>
      <c r="Y8" s="175">
        <f t="shared" si="4"/>
        <v>337.47</v>
      </c>
      <c r="Z8" s="176">
        <f t="shared" si="5"/>
        <v>288.45</v>
      </c>
      <c r="AA8" s="86">
        <f t="shared" si="8"/>
        <v>-14.525735620944094</v>
      </c>
    </row>
    <row r="9" spans="1:27" ht="14.25" customHeight="1">
      <c r="A9" s="36">
        <v>5</v>
      </c>
      <c r="B9" s="158" t="s">
        <v>16</v>
      </c>
      <c r="C9" s="210">
        <v>24.87</v>
      </c>
      <c r="D9" s="199">
        <v>29.84</v>
      </c>
      <c r="E9" s="199">
        <v>25.58</v>
      </c>
      <c r="F9" s="200">
        <v>32.84</v>
      </c>
      <c r="G9" s="181">
        <f t="shared" si="0"/>
        <v>54.71</v>
      </c>
      <c r="H9" s="210">
        <v>26.52</v>
      </c>
      <c r="I9">
        <v>21.82</v>
      </c>
      <c r="J9" s="199"/>
      <c r="K9" s="200"/>
      <c r="L9" s="142">
        <f t="shared" si="1"/>
        <v>48.34</v>
      </c>
      <c r="M9" s="168">
        <f t="shared" si="6"/>
        <v>-11.643209650886488</v>
      </c>
      <c r="N9" s="213">
        <v>69.83</v>
      </c>
      <c r="O9" s="205">
        <v>78.63</v>
      </c>
      <c r="P9" s="205">
        <v>87.57</v>
      </c>
      <c r="Q9" s="206">
        <v>69.09</v>
      </c>
      <c r="R9" s="40">
        <f t="shared" si="2"/>
        <v>147.72</v>
      </c>
      <c r="S9" s="213">
        <v>73.48</v>
      </c>
      <c r="T9">
        <v>78.03</v>
      </c>
      <c r="U9" s="205"/>
      <c r="V9" s="206"/>
      <c r="W9" s="40">
        <f t="shared" si="3"/>
        <v>151.51</v>
      </c>
      <c r="X9" s="184">
        <f t="shared" si="7"/>
        <v>2.56566477118873</v>
      </c>
      <c r="Y9" s="141">
        <f t="shared" si="4"/>
        <v>202.43</v>
      </c>
      <c r="Z9" s="142">
        <f t="shared" si="5"/>
        <v>199.85</v>
      </c>
      <c r="AA9" s="41">
        <f t="shared" si="8"/>
        <v>-1.2745146470384887</v>
      </c>
    </row>
    <row r="10" spans="1:27" ht="14.25" customHeight="1">
      <c r="A10" s="36">
        <v>6</v>
      </c>
      <c r="B10" s="158" t="s">
        <v>17</v>
      </c>
      <c r="C10" s="211">
        <v>64.96</v>
      </c>
      <c r="D10" s="201">
        <v>67.65</v>
      </c>
      <c r="E10" s="201">
        <v>67.97</v>
      </c>
      <c r="F10" s="202">
        <v>81.78</v>
      </c>
      <c r="G10" s="181">
        <f t="shared" si="0"/>
        <v>132.61</v>
      </c>
      <c r="H10" s="211">
        <v>62.02</v>
      </c>
      <c r="I10">
        <v>67.53</v>
      </c>
      <c r="J10" s="201"/>
      <c r="K10" s="202"/>
      <c r="L10" s="142">
        <f t="shared" si="1"/>
        <v>129.55</v>
      </c>
      <c r="M10" s="168">
        <f t="shared" si="6"/>
        <v>-2.307518286705378</v>
      </c>
      <c r="N10" s="214">
        <v>29.82</v>
      </c>
      <c r="O10" s="207">
        <v>30.72</v>
      </c>
      <c r="P10" s="207">
        <v>31.1</v>
      </c>
      <c r="Q10" s="208">
        <v>30.02</v>
      </c>
      <c r="R10" s="40">
        <f t="shared" si="2"/>
        <v>60.739999999999995</v>
      </c>
      <c r="S10" s="214">
        <v>29.29</v>
      </c>
      <c r="T10">
        <v>29.25</v>
      </c>
      <c r="U10" s="207"/>
      <c r="V10" s="208"/>
      <c r="W10" s="40">
        <f t="shared" si="3"/>
        <v>58.54</v>
      </c>
      <c r="X10" s="143">
        <f t="shared" si="7"/>
        <v>-3.6219953901876787</v>
      </c>
      <c r="Y10" s="141">
        <f t="shared" si="4"/>
        <v>193.35000000000002</v>
      </c>
      <c r="Z10" s="142">
        <f t="shared" si="5"/>
        <v>188.09</v>
      </c>
      <c r="AA10" s="41">
        <f t="shared" si="8"/>
        <v>-2.720455133178184</v>
      </c>
    </row>
    <row r="11" spans="1:27" ht="18" customHeight="1" thickBot="1">
      <c r="A11" s="463" t="s">
        <v>45</v>
      </c>
      <c r="B11" s="439"/>
      <c r="C11" s="144">
        <f>SUM(C5:C10)</f>
        <v>230.57</v>
      </c>
      <c r="D11" s="165">
        <f>SUM(D5:D10)</f>
        <v>221.62</v>
      </c>
      <c r="E11" s="165">
        <f>SUM(E5:E10)</f>
        <v>221.44000000000003</v>
      </c>
      <c r="F11" s="179">
        <f aca="true" t="shared" si="9" ref="F11:Z11">SUM(F5:F10)</f>
        <v>265.48</v>
      </c>
      <c r="G11" s="144">
        <f t="shared" si="9"/>
        <v>452.19</v>
      </c>
      <c r="H11" s="145">
        <f t="shared" si="9"/>
        <v>214.87</v>
      </c>
      <c r="I11" s="145">
        <f t="shared" si="9"/>
        <v>213.23000000000002</v>
      </c>
      <c r="J11" s="145">
        <f t="shared" si="9"/>
        <v>0</v>
      </c>
      <c r="K11" s="145">
        <f t="shared" si="9"/>
        <v>0</v>
      </c>
      <c r="L11" s="145">
        <f t="shared" si="9"/>
        <v>428.09999999999997</v>
      </c>
      <c r="M11" s="170">
        <f t="shared" si="6"/>
        <v>-5.327406621110602</v>
      </c>
      <c r="N11" s="147">
        <f t="shared" si="9"/>
        <v>405.41999999999996</v>
      </c>
      <c r="O11" s="173">
        <f t="shared" si="9"/>
        <v>430.88</v>
      </c>
      <c r="P11" s="173">
        <f t="shared" si="9"/>
        <v>428.37</v>
      </c>
      <c r="Q11" s="182">
        <f t="shared" si="9"/>
        <v>432.06999999999994</v>
      </c>
      <c r="R11" s="147">
        <f t="shared" si="9"/>
        <v>862.95</v>
      </c>
      <c r="S11" s="70">
        <f t="shared" si="9"/>
        <v>390.85</v>
      </c>
      <c r="T11" s="70">
        <f t="shared" si="9"/>
        <v>384.29999999999995</v>
      </c>
      <c r="U11" s="70">
        <f t="shared" si="9"/>
        <v>0</v>
      </c>
      <c r="V11" s="70">
        <f t="shared" si="9"/>
        <v>0</v>
      </c>
      <c r="W11" s="70">
        <f t="shared" si="9"/>
        <v>775.1499999999999</v>
      </c>
      <c r="X11" s="146">
        <f t="shared" si="7"/>
        <v>-10.17440176139987</v>
      </c>
      <c r="Y11" s="144">
        <f t="shared" si="9"/>
        <v>1315.1399999999999</v>
      </c>
      <c r="Z11" s="145">
        <f t="shared" si="9"/>
        <v>1203.25</v>
      </c>
      <c r="AA11" s="71">
        <f t="shared" si="8"/>
        <v>-8.507839469562168</v>
      </c>
    </row>
    <row r="12" spans="1:27" ht="14.25" customHeight="1">
      <c r="A12" s="45">
        <v>7</v>
      </c>
      <c r="B12" s="160" t="s">
        <v>5</v>
      </c>
      <c r="C12" s="209">
        <v>42.28</v>
      </c>
      <c r="D12" s="197">
        <v>41.14</v>
      </c>
      <c r="E12" s="197">
        <v>42.18</v>
      </c>
      <c r="F12" s="198">
        <v>54.65</v>
      </c>
      <c r="G12" s="181">
        <f aca="true" t="shared" si="10" ref="G12:G17">C12+D12</f>
        <v>83.42</v>
      </c>
      <c r="H12" s="209">
        <v>42.97</v>
      </c>
      <c r="I12">
        <v>48.56</v>
      </c>
      <c r="J12" s="197"/>
      <c r="K12" s="198"/>
      <c r="L12" s="115">
        <f aca="true" t="shared" si="11" ref="L12:L18">K12+J12+I12+H12</f>
        <v>91.53</v>
      </c>
      <c r="M12" s="171">
        <f t="shared" si="6"/>
        <v>9.721889235195395</v>
      </c>
      <c r="N12" s="212">
        <v>75.69</v>
      </c>
      <c r="O12" s="203">
        <v>70.56</v>
      </c>
      <c r="P12" s="203">
        <v>80.78</v>
      </c>
      <c r="Q12" s="204">
        <v>68.2</v>
      </c>
      <c r="R12" s="40">
        <f aca="true" t="shared" si="12" ref="R12:R17">Q12+O12</f>
        <v>138.76</v>
      </c>
      <c r="S12" s="212">
        <v>76.5</v>
      </c>
      <c r="T12">
        <v>73.92</v>
      </c>
      <c r="U12" s="203"/>
      <c r="V12" s="204"/>
      <c r="W12" s="48">
        <f aca="true" t="shared" si="13" ref="W12:W18">V12+U12+T12+S12</f>
        <v>150.42000000000002</v>
      </c>
      <c r="X12" s="185">
        <f t="shared" si="7"/>
        <v>8.402997982127433</v>
      </c>
      <c r="Y12" s="177">
        <f aca="true" t="shared" si="14" ref="Y12:Y18">R12+G12</f>
        <v>222.18</v>
      </c>
      <c r="Z12" s="178">
        <f aca="true" t="shared" si="15" ref="Z12:Z18">W12+L12</f>
        <v>241.95000000000002</v>
      </c>
      <c r="AA12" s="104">
        <f t="shared" si="8"/>
        <v>8.898190656224687</v>
      </c>
    </row>
    <row r="13" spans="1:27" ht="14.25" customHeight="1">
      <c r="A13" s="36">
        <v>8</v>
      </c>
      <c r="B13" s="161" t="s">
        <v>6</v>
      </c>
      <c r="C13" s="210">
        <v>16.28</v>
      </c>
      <c r="D13" s="199">
        <v>21.1</v>
      </c>
      <c r="E13" s="199">
        <v>18.66</v>
      </c>
      <c r="F13" s="200">
        <v>16.59</v>
      </c>
      <c r="G13" s="181">
        <f t="shared" si="10"/>
        <v>37.38</v>
      </c>
      <c r="H13" s="210">
        <v>23.82</v>
      </c>
      <c r="I13">
        <v>21.98</v>
      </c>
      <c r="J13" s="199"/>
      <c r="K13" s="200"/>
      <c r="L13" s="142">
        <f t="shared" si="11"/>
        <v>45.8</v>
      </c>
      <c r="M13" s="216">
        <f t="shared" si="6"/>
        <v>22.525414660246103</v>
      </c>
      <c r="N13" s="213">
        <v>41.47</v>
      </c>
      <c r="O13" s="205">
        <v>46.18</v>
      </c>
      <c r="P13" s="205">
        <v>42.67</v>
      </c>
      <c r="Q13" s="206">
        <v>42.11</v>
      </c>
      <c r="R13" s="40">
        <f t="shared" si="12"/>
        <v>88.28999999999999</v>
      </c>
      <c r="S13" s="213">
        <v>38.24</v>
      </c>
      <c r="T13">
        <v>43.01</v>
      </c>
      <c r="U13" s="205"/>
      <c r="V13" s="206"/>
      <c r="W13" s="40">
        <f t="shared" si="13"/>
        <v>81.25</v>
      </c>
      <c r="X13" s="184">
        <f t="shared" si="7"/>
        <v>-7.973722958432431</v>
      </c>
      <c r="Y13" s="175">
        <f t="shared" si="14"/>
        <v>125.66999999999999</v>
      </c>
      <c r="Z13" s="176">
        <f t="shared" si="15"/>
        <v>127.05</v>
      </c>
      <c r="AA13" s="217">
        <f t="shared" si="8"/>
        <v>1.0981141083790957</v>
      </c>
    </row>
    <row r="14" spans="1:27" ht="14.25" customHeight="1">
      <c r="A14" s="36">
        <v>9</v>
      </c>
      <c r="B14" s="158" t="s">
        <v>7</v>
      </c>
      <c r="C14" s="210">
        <v>13.09</v>
      </c>
      <c r="D14" s="199">
        <v>16.92</v>
      </c>
      <c r="E14" s="199">
        <v>15.12</v>
      </c>
      <c r="F14" s="200">
        <v>20.86</v>
      </c>
      <c r="G14" s="181">
        <f t="shared" si="10"/>
        <v>30.01</v>
      </c>
      <c r="H14" s="210">
        <v>14.87</v>
      </c>
      <c r="I14">
        <v>15.89</v>
      </c>
      <c r="J14" s="199"/>
      <c r="K14" s="200"/>
      <c r="L14" s="142">
        <f t="shared" si="11"/>
        <v>30.759999999999998</v>
      </c>
      <c r="M14" s="315">
        <f t="shared" si="6"/>
        <v>2.4991669443518707</v>
      </c>
      <c r="N14" s="213">
        <v>61.87</v>
      </c>
      <c r="O14" s="205">
        <v>61.07</v>
      </c>
      <c r="P14" s="205">
        <v>62.92</v>
      </c>
      <c r="Q14" s="206">
        <v>63.63</v>
      </c>
      <c r="R14" s="40">
        <f t="shared" si="12"/>
        <v>124.7</v>
      </c>
      <c r="S14" s="213">
        <v>52.96</v>
      </c>
      <c r="T14">
        <v>52.5</v>
      </c>
      <c r="U14" s="205"/>
      <c r="V14" s="206"/>
      <c r="W14" s="40">
        <f t="shared" si="13"/>
        <v>105.46000000000001</v>
      </c>
      <c r="X14" s="184">
        <f t="shared" si="7"/>
        <v>-15.4290296712109</v>
      </c>
      <c r="Y14" s="175">
        <f t="shared" si="14"/>
        <v>154.71</v>
      </c>
      <c r="Z14" s="176">
        <f t="shared" si="15"/>
        <v>136.22</v>
      </c>
      <c r="AA14" s="217">
        <f t="shared" si="8"/>
        <v>-11.951392928705324</v>
      </c>
    </row>
    <row r="15" spans="1:27" ht="14.25" customHeight="1">
      <c r="A15" s="36">
        <v>10</v>
      </c>
      <c r="B15" s="158" t="s">
        <v>13</v>
      </c>
      <c r="C15" s="210">
        <v>72.49</v>
      </c>
      <c r="D15" s="199">
        <v>68.24</v>
      </c>
      <c r="E15" s="199">
        <v>70.98</v>
      </c>
      <c r="F15" s="200">
        <v>70.64</v>
      </c>
      <c r="G15" s="181">
        <f t="shared" si="10"/>
        <v>140.73</v>
      </c>
      <c r="H15" s="210">
        <v>76.07</v>
      </c>
      <c r="I15">
        <v>87.49</v>
      </c>
      <c r="J15" s="199"/>
      <c r="K15" s="200"/>
      <c r="L15" s="142">
        <f t="shared" si="11"/>
        <v>163.56</v>
      </c>
      <c r="M15" s="168">
        <f t="shared" si="6"/>
        <v>16.22255382647624</v>
      </c>
      <c r="N15" s="213">
        <v>105.53</v>
      </c>
      <c r="O15" s="205">
        <v>114.09</v>
      </c>
      <c r="P15" s="205">
        <v>129.31</v>
      </c>
      <c r="Q15" s="206">
        <v>117.03</v>
      </c>
      <c r="R15" s="40">
        <f t="shared" si="12"/>
        <v>231.12</v>
      </c>
      <c r="S15" s="213">
        <v>101.34</v>
      </c>
      <c r="T15">
        <v>113.3</v>
      </c>
      <c r="U15" s="205"/>
      <c r="V15" s="206"/>
      <c r="W15" s="40">
        <f t="shared" si="13"/>
        <v>214.64</v>
      </c>
      <c r="X15" s="184">
        <f t="shared" si="7"/>
        <v>-7.130494980962278</v>
      </c>
      <c r="Y15" s="175">
        <f t="shared" si="14"/>
        <v>371.85</v>
      </c>
      <c r="Z15" s="176">
        <f t="shared" si="15"/>
        <v>378.2</v>
      </c>
      <c r="AA15" s="86">
        <f t="shared" si="8"/>
        <v>1.7076778270808028</v>
      </c>
    </row>
    <row r="16" spans="1:27" ht="14.25" customHeight="1">
      <c r="A16" s="36">
        <v>11</v>
      </c>
      <c r="B16" s="158" t="s">
        <v>14</v>
      </c>
      <c r="C16" s="210">
        <v>85.85</v>
      </c>
      <c r="D16" s="199">
        <v>119.2</v>
      </c>
      <c r="E16" s="199">
        <v>139.54</v>
      </c>
      <c r="F16" s="200">
        <v>133.66</v>
      </c>
      <c r="G16" s="181">
        <f t="shared" si="10"/>
        <v>205.05</v>
      </c>
      <c r="H16" s="210">
        <v>130.08</v>
      </c>
      <c r="I16">
        <v>97.73</v>
      </c>
      <c r="J16" s="199"/>
      <c r="K16" s="200"/>
      <c r="L16" s="142">
        <f t="shared" si="11"/>
        <v>227.81</v>
      </c>
      <c r="M16" s="216">
        <f t="shared" si="6"/>
        <v>11.099731772738352</v>
      </c>
      <c r="N16" s="213">
        <v>119.24</v>
      </c>
      <c r="O16" s="205">
        <v>114.63</v>
      </c>
      <c r="P16" s="205">
        <v>113.02</v>
      </c>
      <c r="Q16" s="206">
        <v>113.89</v>
      </c>
      <c r="R16" s="40">
        <f t="shared" si="12"/>
        <v>228.51999999999998</v>
      </c>
      <c r="S16" s="213">
        <v>116.25</v>
      </c>
      <c r="T16">
        <v>101.71</v>
      </c>
      <c r="U16" s="205"/>
      <c r="V16" s="206"/>
      <c r="W16" s="40">
        <f t="shared" si="13"/>
        <v>217.95999999999998</v>
      </c>
      <c r="X16" s="154">
        <f t="shared" si="7"/>
        <v>-4.621039733940139</v>
      </c>
      <c r="Y16" s="175">
        <f t="shared" si="14"/>
        <v>433.57</v>
      </c>
      <c r="Z16" s="176">
        <f t="shared" si="15"/>
        <v>445.77</v>
      </c>
      <c r="AA16" s="86">
        <f t="shared" si="8"/>
        <v>2.8138478215743685</v>
      </c>
    </row>
    <row r="17" spans="1:27" ht="14.25" customHeight="1">
      <c r="A17" s="36">
        <v>12</v>
      </c>
      <c r="B17" s="158" t="s">
        <v>53</v>
      </c>
      <c r="C17" s="210">
        <v>89.74</v>
      </c>
      <c r="D17" s="199">
        <v>42.81</v>
      </c>
      <c r="E17" s="199">
        <v>43.43</v>
      </c>
      <c r="F17" s="200">
        <v>90.29</v>
      </c>
      <c r="G17" s="181">
        <f t="shared" si="10"/>
        <v>132.55</v>
      </c>
      <c r="H17" s="210">
        <v>57.39</v>
      </c>
      <c r="I17">
        <v>50.56</v>
      </c>
      <c r="J17" s="199"/>
      <c r="K17" s="200"/>
      <c r="L17" s="142">
        <f t="shared" si="11"/>
        <v>107.95</v>
      </c>
      <c r="M17" s="169">
        <f t="shared" si="6"/>
        <v>-18.559034326669185</v>
      </c>
      <c r="N17" s="213">
        <v>185.51</v>
      </c>
      <c r="O17" s="205">
        <v>193.28</v>
      </c>
      <c r="P17" s="205">
        <v>177.16</v>
      </c>
      <c r="Q17" s="206">
        <v>207.03</v>
      </c>
      <c r="R17" s="40">
        <f t="shared" si="12"/>
        <v>400.31</v>
      </c>
      <c r="S17" s="213">
        <v>174.97</v>
      </c>
      <c r="T17">
        <v>183.99</v>
      </c>
      <c r="U17" s="205"/>
      <c r="V17" s="206"/>
      <c r="W17" s="40">
        <f t="shared" si="13"/>
        <v>358.96000000000004</v>
      </c>
      <c r="X17" s="154">
        <f t="shared" si="7"/>
        <v>-10.32949464165271</v>
      </c>
      <c r="Y17" s="175">
        <f t="shared" si="14"/>
        <v>532.86</v>
      </c>
      <c r="Z17" s="176">
        <f t="shared" si="15"/>
        <v>466.91</v>
      </c>
      <c r="AA17" s="86">
        <f t="shared" si="8"/>
        <v>-12.37660924070112</v>
      </c>
    </row>
    <row r="18" spans="1:27" ht="14.25" customHeight="1">
      <c r="A18" s="36">
        <v>13</v>
      </c>
      <c r="B18" s="158" t="s">
        <v>54</v>
      </c>
      <c r="C18" s="211">
        <v>77.36</v>
      </c>
      <c r="D18" s="201">
        <v>44.29</v>
      </c>
      <c r="E18" s="201">
        <v>70.04</v>
      </c>
      <c r="F18" s="202">
        <v>83.93</v>
      </c>
      <c r="G18" s="181">
        <f>C18+D18</f>
        <v>121.65</v>
      </c>
      <c r="H18" s="211">
        <v>67.38</v>
      </c>
      <c r="I18">
        <v>72.3</v>
      </c>
      <c r="J18" s="201"/>
      <c r="K18" s="202"/>
      <c r="L18" s="142">
        <f t="shared" si="11"/>
        <v>139.68</v>
      </c>
      <c r="M18" s="169">
        <f t="shared" si="6"/>
        <v>14.821208384710236</v>
      </c>
      <c r="N18" s="214">
        <v>109.02</v>
      </c>
      <c r="O18" s="207">
        <v>110.08</v>
      </c>
      <c r="P18" s="207">
        <v>109.28</v>
      </c>
      <c r="Q18" s="208">
        <v>101.25</v>
      </c>
      <c r="R18" s="40">
        <f>Q18+O18</f>
        <v>211.32999999999998</v>
      </c>
      <c r="S18" s="214">
        <v>98.65</v>
      </c>
      <c r="T18">
        <v>96.67</v>
      </c>
      <c r="U18" s="207"/>
      <c r="V18" s="208"/>
      <c r="W18" s="40">
        <f t="shared" si="13"/>
        <v>195.32</v>
      </c>
      <c r="X18" s="184">
        <f t="shared" si="7"/>
        <v>-7.5758292717550715</v>
      </c>
      <c r="Y18" s="175">
        <f t="shared" si="14"/>
        <v>332.98</v>
      </c>
      <c r="Z18" s="176">
        <f t="shared" si="15"/>
        <v>335</v>
      </c>
      <c r="AA18" s="86">
        <f t="shared" si="8"/>
        <v>0.6066430416241161</v>
      </c>
    </row>
    <row r="19" spans="1:27" ht="17.25" customHeight="1" thickBot="1">
      <c r="A19" s="463" t="s">
        <v>47</v>
      </c>
      <c r="B19" s="439"/>
      <c r="C19" s="144">
        <f aca="true" t="shared" si="16" ref="C19:L19">SUM(C12:C18)</f>
        <v>397.09</v>
      </c>
      <c r="D19" s="165">
        <f t="shared" si="16"/>
        <v>353.7</v>
      </c>
      <c r="E19" s="165">
        <f t="shared" si="16"/>
        <v>399.95000000000005</v>
      </c>
      <c r="F19" s="179">
        <f t="shared" si="16"/>
        <v>470.62</v>
      </c>
      <c r="G19" s="144">
        <f t="shared" si="16"/>
        <v>750.79</v>
      </c>
      <c r="H19" s="145">
        <f t="shared" si="16"/>
        <v>412.58</v>
      </c>
      <c r="I19" s="145">
        <f t="shared" si="16"/>
        <v>394.51000000000005</v>
      </c>
      <c r="J19" s="145">
        <f t="shared" si="16"/>
        <v>0</v>
      </c>
      <c r="K19" s="145">
        <f t="shared" si="16"/>
        <v>0</v>
      </c>
      <c r="L19" s="145">
        <f t="shared" si="16"/>
        <v>807.0900000000001</v>
      </c>
      <c r="M19" s="170">
        <f t="shared" si="6"/>
        <v>7.4987679644108445</v>
      </c>
      <c r="N19" s="147">
        <f aca="true" t="shared" si="17" ref="N19:W19">SUM(N12:N18)</f>
        <v>698.3299999999999</v>
      </c>
      <c r="O19" s="173">
        <f t="shared" si="17"/>
        <v>709.89</v>
      </c>
      <c r="P19" s="173">
        <f t="shared" si="17"/>
        <v>715.14</v>
      </c>
      <c r="Q19" s="182">
        <f t="shared" si="17"/>
        <v>713.14</v>
      </c>
      <c r="R19" s="147">
        <f t="shared" si="17"/>
        <v>1423.03</v>
      </c>
      <c r="S19" s="70">
        <f t="shared" si="17"/>
        <v>658.91</v>
      </c>
      <c r="T19" s="70">
        <f t="shared" si="17"/>
        <v>665.1</v>
      </c>
      <c r="U19" s="70">
        <f t="shared" si="17"/>
        <v>0</v>
      </c>
      <c r="V19" s="70">
        <f t="shared" si="17"/>
        <v>0</v>
      </c>
      <c r="W19" s="70">
        <f t="shared" si="17"/>
        <v>1324.01</v>
      </c>
      <c r="X19" s="146">
        <f t="shared" si="7"/>
        <v>-6.958391601020357</v>
      </c>
      <c r="Y19" s="144">
        <f>SUM(Y12:Y18)</f>
        <v>2173.82</v>
      </c>
      <c r="Z19" s="145">
        <f>SUM(Z12:Z18)</f>
        <v>2131.1000000000004</v>
      </c>
      <c r="AA19" s="71">
        <f t="shared" si="8"/>
        <v>-1.9652041107359302</v>
      </c>
    </row>
    <row r="20" spans="1:27" ht="14.25" customHeight="1">
      <c r="A20" s="45">
        <v>14</v>
      </c>
      <c r="B20" s="162" t="s">
        <v>1</v>
      </c>
      <c r="C20" s="209">
        <v>150.35</v>
      </c>
      <c r="D20" s="197">
        <v>138.88</v>
      </c>
      <c r="E20" s="197">
        <v>133.31</v>
      </c>
      <c r="F20" s="198">
        <v>121.69</v>
      </c>
      <c r="G20" s="181">
        <f>C20+D20</f>
        <v>289.23</v>
      </c>
      <c r="H20" s="209">
        <v>127.67</v>
      </c>
      <c r="I20">
        <v>103.14</v>
      </c>
      <c r="J20" s="197"/>
      <c r="K20" s="198"/>
      <c r="L20" s="115">
        <f>K20+J20+I20+H20</f>
        <v>230.81</v>
      </c>
      <c r="M20" s="171">
        <f t="shared" si="6"/>
        <v>-20.19845797462228</v>
      </c>
      <c r="N20" s="212">
        <v>289.8</v>
      </c>
      <c r="O20" s="203">
        <v>272.46</v>
      </c>
      <c r="P20" s="203">
        <v>296.69</v>
      </c>
      <c r="Q20" s="204">
        <v>281.93</v>
      </c>
      <c r="R20" s="40">
        <f>Q20+O20</f>
        <v>554.39</v>
      </c>
      <c r="S20" s="212">
        <v>190.21</v>
      </c>
      <c r="T20">
        <v>303.26</v>
      </c>
      <c r="U20" s="203"/>
      <c r="V20" s="204"/>
      <c r="W20" s="48">
        <f>V20+U20+T20+S20</f>
        <v>493.47</v>
      </c>
      <c r="X20" s="215">
        <f t="shared" si="7"/>
        <v>-10.988654196504259</v>
      </c>
      <c r="Y20" s="177">
        <f>R20+G20</f>
        <v>843.62</v>
      </c>
      <c r="Z20" s="178">
        <f>W20+L20</f>
        <v>724.28</v>
      </c>
      <c r="AA20" s="104">
        <f t="shared" si="8"/>
        <v>-14.146179559517321</v>
      </c>
    </row>
    <row r="21" spans="1:27" ht="14.25" customHeight="1">
      <c r="A21" s="36">
        <v>15</v>
      </c>
      <c r="B21" s="158" t="s">
        <v>8</v>
      </c>
      <c r="C21" s="210">
        <v>163.27</v>
      </c>
      <c r="D21" s="199">
        <v>94.48</v>
      </c>
      <c r="E21" s="199">
        <v>102.71</v>
      </c>
      <c r="F21" s="200">
        <v>154.46</v>
      </c>
      <c r="G21" s="181">
        <f>C21+D21</f>
        <v>257.75</v>
      </c>
      <c r="H21" s="210">
        <v>151.3</v>
      </c>
      <c r="I21">
        <v>129.49</v>
      </c>
      <c r="J21" s="199"/>
      <c r="K21" s="200"/>
      <c r="L21" s="142">
        <f>K21+J21+I21+H21</f>
        <v>280.79</v>
      </c>
      <c r="M21" s="169">
        <f t="shared" si="6"/>
        <v>8.93889427740059</v>
      </c>
      <c r="N21" s="213">
        <v>167.03</v>
      </c>
      <c r="O21" s="205">
        <v>206.78</v>
      </c>
      <c r="P21" s="205">
        <v>193.06</v>
      </c>
      <c r="Q21" s="206">
        <v>191.45</v>
      </c>
      <c r="R21" s="40">
        <f>Q21+O21</f>
        <v>398.23</v>
      </c>
      <c r="S21" s="213">
        <v>181.15</v>
      </c>
      <c r="T21">
        <v>173.18</v>
      </c>
      <c r="U21" s="205"/>
      <c r="V21" s="206"/>
      <c r="W21" s="40">
        <f>V21+U21+T21+S21</f>
        <v>354.33000000000004</v>
      </c>
      <c r="X21" s="184">
        <f t="shared" si="7"/>
        <v>-11.02378022750671</v>
      </c>
      <c r="Y21" s="175">
        <f>R21+G21</f>
        <v>655.98</v>
      </c>
      <c r="Z21" s="176">
        <f>W21+L21</f>
        <v>635.1200000000001</v>
      </c>
      <c r="AA21" s="217">
        <f t="shared" si="8"/>
        <v>-3.179974999237766</v>
      </c>
    </row>
    <row r="22" spans="1:27" ht="14.25" customHeight="1">
      <c r="A22" s="36">
        <v>16</v>
      </c>
      <c r="B22" s="158" t="s">
        <v>9</v>
      </c>
      <c r="C22" s="210">
        <v>152.4</v>
      </c>
      <c r="D22" s="199">
        <v>176.5</v>
      </c>
      <c r="E22" s="199">
        <v>151.14</v>
      </c>
      <c r="F22" s="200">
        <v>166.4</v>
      </c>
      <c r="G22" s="181">
        <f>C22+D22</f>
        <v>328.9</v>
      </c>
      <c r="H22" s="210">
        <v>150.81</v>
      </c>
      <c r="I22">
        <v>149.05</v>
      </c>
      <c r="J22" s="199"/>
      <c r="K22" s="200"/>
      <c r="L22" s="142">
        <f>K22+J22+I22+H22</f>
        <v>299.86</v>
      </c>
      <c r="M22" s="168">
        <f t="shared" si="6"/>
        <v>-8.82943143812708</v>
      </c>
      <c r="N22" s="213">
        <v>240.59</v>
      </c>
      <c r="O22" s="205">
        <v>273.17</v>
      </c>
      <c r="P22" s="205">
        <v>280.27</v>
      </c>
      <c r="Q22" s="206">
        <v>247.88</v>
      </c>
      <c r="R22" s="40">
        <f>Q22+O22</f>
        <v>521.05</v>
      </c>
      <c r="S22" s="213">
        <v>259.44</v>
      </c>
      <c r="T22">
        <v>271.25</v>
      </c>
      <c r="U22" s="205"/>
      <c r="V22" s="206"/>
      <c r="W22" s="40">
        <f>V22+U22+T22+S22</f>
        <v>530.69</v>
      </c>
      <c r="X22" s="184">
        <f>(W22-R22)/R22*100</f>
        <v>1.8501103540927168</v>
      </c>
      <c r="Y22" s="175">
        <f>R22+G22</f>
        <v>849.9499999999999</v>
      </c>
      <c r="Z22" s="176">
        <f>W22+L22</f>
        <v>830.5500000000001</v>
      </c>
      <c r="AA22" s="217">
        <f t="shared" si="8"/>
        <v>-2.282487205129698</v>
      </c>
    </row>
    <row r="23" spans="1:27" ht="14.25" customHeight="1">
      <c r="A23" s="36">
        <v>17</v>
      </c>
      <c r="B23" s="158" t="s">
        <v>15</v>
      </c>
      <c r="C23" s="210">
        <v>113.45</v>
      </c>
      <c r="D23" s="199">
        <v>98.86</v>
      </c>
      <c r="E23" s="199">
        <v>94.24</v>
      </c>
      <c r="F23" s="200">
        <v>113.33</v>
      </c>
      <c r="G23" s="181">
        <f>C23+D23</f>
        <v>212.31</v>
      </c>
      <c r="H23" s="210">
        <v>107.42</v>
      </c>
      <c r="I23">
        <v>94.97</v>
      </c>
      <c r="J23" s="199"/>
      <c r="K23" s="200"/>
      <c r="L23" s="142">
        <f>K23+J23+I23+H23</f>
        <v>202.39</v>
      </c>
      <c r="M23" s="168">
        <f t="shared" si="6"/>
        <v>-4.67241298101833</v>
      </c>
      <c r="N23" s="213">
        <v>219.4</v>
      </c>
      <c r="O23" s="205">
        <v>196.25</v>
      </c>
      <c r="P23" s="205">
        <v>214.92</v>
      </c>
      <c r="Q23" s="206">
        <v>203.87</v>
      </c>
      <c r="R23" s="40">
        <f>Q23+O23</f>
        <v>400.12</v>
      </c>
      <c r="S23" s="213">
        <v>187.47</v>
      </c>
      <c r="T23">
        <v>190.19</v>
      </c>
      <c r="U23" s="205"/>
      <c r="V23" s="206"/>
      <c r="W23" s="40">
        <f>V23+U23+T23+S23</f>
        <v>377.65999999999997</v>
      </c>
      <c r="X23" s="184">
        <f t="shared" si="7"/>
        <v>-5.61331600519845</v>
      </c>
      <c r="Y23" s="175">
        <f>R23+G23</f>
        <v>612.4300000000001</v>
      </c>
      <c r="Z23" s="176">
        <f>W23+L23</f>
        <v>580.05</v>
      </c>
      <c r="AA23" s="217">
        <f t="shared" si="8"/>
        <v>-5.287134856228485</v>
      </c>
    </row>
    <row r="24" spans="1:27" ht="14.25" customHeight="1">
      <c r="A24" s="36">
        <v>18</v>
      </c>
      <c r="B24" s="158" t="s">
        <v>18</v>
      </c>
      <c r="C24" s="211">
        <v>72.89</v>
      </c>
      <c r="D24" s="201">
        <v>88.48</v>
      </c>
      <c r="E24" s="201">
        <v>74.78</v>
      </c>
      <c r="F24" s="202">
        <v>56.64</v>
      </c>
      <c r="G24" s="181">
        <f>C24+D24</f>
        <v>161.37</v>
      </c>
      <c r="H24" s="211">
        <v>86.69</v>
      </c>
      <c r="I24">
        <v>62.9</v>
      </c>
      <c r="J24" s="201"/>
      <c r="K24" s="202"/>
      <c r="L24" s="142">
        <f>K24+J24+I24+H24</f>
        <v>149.59</v>
      </c>
      <c r="M24" s="216">
        <f t="shared" si="6"/>
        <v>-7.299993803061289</v>
      </c>
      <c r="N24" s="214">
        <v>48.19</v>
      </c>
      <c r="O24" s="207">
        <v>55.39</v>
      </c>
      <c r="P24" s="207">
        <v>49.69</v>
      </c>
      <c r="Q24" s="208">
        <v>51.84</v>
      </c>
      <c r="R24" s="40">
        <f>Q24+O24</f>
        <v>107.23</v>
      </c>
      <c r="S24" s="214">
        <v>47.12</v>
      </c>
      <c r="T24">
        <v>44.93</v>
      </c>
      <c r="U24" s="207"/>
      <c r="V24" s="208"/>
      <c r="W24" s="40">
        <f>V24+U24+T24+S24</f>
        <v>92.05</v>
      </c>
      <c r="X24" s="154">
        <f t="shared" si="7"/>
        <v>-14.15648605800616</v>
      </c>
      <c r="Y24" s="175">
        <f>R24+G24</f>
        <v>268.6</v>
      </c>
      <c r="Z24" s="176">
        <f>W24+L24</f>
        <v>241.64</v>
      </c>
      <c r="AA24" s="217">
        <f t="shared" si="8"/>
        <v>-10.037230081906193</v>
      </c>
    </row>
    <row r="25" spans="1:27" ht="14.25" customHeight="1" thickBot="1">
      <c r="A25" s="463" t="s">
        <v>48</v>
      </c>
      <c r="B25" s="439"/>
      <c r="C25" s="144">
        <f aca="true" t="shared" si="18" ref="C25:L25">SUM(C20:C24)</f>
        <v>652.36</v>
      </c>
      <c r="D25" s="165">
        <f t="shared" si="18"/>
        <v>597.2</v>
      </c>
      <c r="E25" s="165">
        <f t="shared" si="18"/>
        <v>556.18</v>
      </c>
      <c r="F25" s="179">
        <f t="shared" si="18"/>
        <v>612.52</v>
      </c>
      <c r="G25" s="144">
        <f t="shared" si="18"/>
        <v>1249.56</v>
      </c>
      <c r="H25" s="145">
        <f t="shared" si="18"/>
        <v>623.8900000000001</v>
      </c>
      <c r="I25" s="145">
        <f t="shared" si="18"/>
        <v>539.55</v>
      </c>
      <c r="J25" s="145">
        <f t="shared" si="18"/>
        <v>0</v>
      </c>
      <c r="K25" s="145">
        <f t="shared" si="18"/>
        <v>0</v>
      </c>
      <c r="L25" s="145">
        <f t="shared" si="18"/>
        <v>1163.44</v>
      </c>
      <c r="M25" s="170">
        <f t="shared" si="6"/>
        <v>-6.892025993149581</v>
      </c>
      <c r="N25" s="147">
        <f aca="true" t="shared" si="19" ref="N25:W25">SUM(N20:N24)</f>
        <v>965.01</v>
      </c>
      <c r="O25" s="173">
        <f t="shared" si="19"/>
        <v>1004.0500000000001</v>
      </c>
      <c r="P25" s="173">
        <f t="shared" si="19"/>
        <v>1034.6299999999999</v>
      </c>
      <c r="Q25" s="182">
        <f t="shared" si="19"/>
        <v>976.97</v>
      </c>
      <c r="R25" s="147">
        <f t="shared" si="19"/>
        <v>1981.02</v>
      </c>
      <c r="S25" s="70">
        <f t="shared" si="19"/>
        <v>865.39</v>
      </c>
      <c r="T25" s="70">
        <f t="shared" si="19"/>
        <v>982.8100000000001</v>
      </c>
      <c r="U25" s="70">
        <f t="shared" si="19"/>
        <v>0</v>
      </c>
      <c r="V25" s="70">
        <f t="shared" si="19"/>
        <v>0</v>
      </c>
      <c r="W25" s="70">
        <f t="shared" si="19"/>
        <v>1848.2</v>
      </c>
      <c r="X25" s="146">
        <f t="shared" si="7"/>
        <v>-6.704626909369918</v>
      </c>
      <c r="Y25" s="144">
        <f>SUM(Y20:Y24)</f>
        <v>3230.5799999999995</v>
      </c>
      <c r="Z25" s="145">
        <f>SUM(Z20:Z24)</f>
        <v>3011.64</v>
      </c>
      <c r="AA25" s="71">
        <f t="shared" si="8"/>
        <v>-6.77711123080065</v>
      </c>
    </row>
    <row r="26" spans="1:27" ht="14.25" customHeight="1">
      <c r="A26" s="36">
        <v>20</v>
      </c>
      <c r="B26" s="158" t="s">
        <v>4</v>
      </c>
      <c r="C26" s="209">
        <v>127.01</v>
      </c>
      <c r="D26" s="197">
        <v>98.52</v>
      </c>
      <c r="E26" s="197">
        <v>110.1</v>
      </c>
      <c r="F26" s="198">
        <v>140.4</v>
      </c>
      <c r="G26" s="181">
        <f>C26+D26</f>
        <v>225.53</v>
      </c>
      <c r="H26" s="209">
        <v>120.13</v>
      </c>
      <c r="I26">
        <v>89.79</v>
      </c>
      <c r="J26" s="197"/>
      <c r="K26" s="198"/>
      <c r="L26" s="142">
        <f>K26+J26+I26+H26</f>
        <v>209.92000000000002</v>
      </c>
      <c r="M26" s="216">
        <f t="shared" si="6"/>
        <v>-6.921473861570517</v>
      </c>
      <c r="N26" s="212">
        <v>98.66</v>
      </c>
      <c r="O26" s="203">
        <v>106.81</v>
      </c>
      <c r="P26" s="203">
        <v>98.75</v>
      </c>
      <c r="Q26" s="204">
        <v>92.4</v>
      </c>
      <c r="R26" s="40">
        <f>Q26+O26</f>
        <v>199.21</v>
      </c>
      <c r="S26" s="212">
        <v>98.61</v>
      </c>
      <c r="T26">
        <v>92.49</v>
      </c>
      <c r="U26" s="203"/>
      <c r="V26" s="204"/>
      <c r="W26" s="40">
        <f>V26+U26+T26+S26</f>
        <v>191.1</v>
      </c>
      <c r="X26" s="184">
        <f t="shared" si="7"/>
        <v>-4.071080769037706</v>
      </c>
      <c r="Y26" s="141">
        <f>R26+G26</f>
        <v>424.74</v>
      </c>
      <c r="Z26" s="142">
        <f>W26+L26</f>
        <v>401.02</v>
      </c>
      <c r="AA26" s="217">
        <f t="shared" si="8"/>
        <v>-5.584592927437968</v>
      </c>
    </row>
    <row r="27" spans="1:27" ht="14.25" customHeight="1">
      <c r="A27" s="36">
        <v>19</v>
      </c>
      <c r="B27" s="159" t="s">
        <v>10</v>
      </c>
      <c r="C27" s="210">
        <v>69.29</v>
      </c>
      <c r="D27" s="199">
        <v>89.46</v>
      </c>
      <c r="E27" s="199">
        <v>77.26</v>
      </c>
      <c r="F27" s="200">
        <v>91.5</v>
      </c>
      <c r="G27" s="181">
        <f>C27+D27</f>
        <v>158.75</v>
      </c>
      <c r="H27" s="210">
        <v>74.36</v>
      </c>
      <c r="I27">
        <v>76.73</v>
      </c>
      <c r="J27" s="199"/>
      <c r="K27" s="200"/>
      <c r="L27" s="142">
        <f>K27+J27+I27+H27</f>
        <v>151.09</v>
      </c>
      <c r="M27" s="216">
        <f t="shared" si="6"/>
        <v>-4.825196850393699</v>
      </c>
      <c r="N27" s="213">
        <v>124.61</v>
      </c>
      <c r="O27" s="205">
        <v>129.26</v>
      </c>
      <c r="P27" s="205">
        <v>119.43</v>
      </c>
      <c r="Q27" s="206">
        <v>130.23</v>
      </c>
      <c r="R27" s="40">
        <f>Q27+O27</f>
        <v>259.49</v>
      </c>
      <c r="S27" s="213">
        <v>111.5</v>
      </c>
      <c r="T27">
        <v>120.74</v>
      </c>
      <c r="U27" s="205"/>
      <c r="V27" s="206"/>
      <c r="W27" s="40">
        <f>V27+U27+T27+S27</f>
        <v>232.24</v>
      </c>
      <c r="X27" s="184">
        <f t="shared" si="7"/>
        <v>-10.501368068133646</v>
      </c>
      <c r="Y27" s="141">
        <f>R27+G27</f>
        <v>418.24</v>
      </c>
      <c r="Z27" s="142">
        <f>W27+L27</f>
        <v>383.33000000000004</v>
      </c>
      <c r="AA27" s="217">
        <f t="shared" si="8"/>
        <v>-8.346882172915066</v>
      </c>
    </row>
    <row r="28" spans="1:27" ht="14.25" customHeight="1">
      <c r="A28" s="51">
        <v>21</v>
      </c>
      <c r="B28" s="163" t="s">
        <v>11</v>
      </c>
      <c r="C28" s="211">
        <v>249.36</v>
      </c>
      <c r="D28" s="201">
        <v>238.91</v>
      </c>
      <c r="E28" s="201">
        <v>170.85</v>
      </c>
      <c r="F28" s="202">
        <v>307.08</v>
      </c>
      <c r="G28" s="181">
        <f>C28+D28</f>
        <v>488.27</v>
      </c>
      <c r="H28" s="211">
        <v>249</v>
      </c>
      <c r="I28">
        <v>221.26</v>
      </c>
      <c r="J28" s="201"/>
      <c r="K28" s="202"/>
      <c r="L28" s="142">
        <f>K28+J28+I28+H28</f>
        <v>470.26</v>
      </c>
      <c r="M28" s="267">
        <f t="shared" si="6"/>
        <v>-3.688532983799945</v>
      </c>
      <c r="N28" s="214">
        <v>189.82</v>
      </c>
      <c r="O28" s="207">
        <v>180.26</v>
      </c>
      <c r="P28" s="207">
        <v>177.58</v>
      </c>
      <c r="Q28" s="208">
        <v>175.89</v>
      </c>
      <c r="R28" s="40">
        <f>Q28+O28</f>
        <v>356.15</v>
      </c>
      <c r="S28" s="214">
        <v>176.02</v>
      </c>
      <c r="T28">
        <v>123.64</v>
      </c>
      <c r="U28" s="207"/>
      <c r="V28" s="208"/>
      <c r="W28" s="40">
        <f>V28+U28+T28+S28</f>
        <v>299.66</v>
      </c>
      <c r="X28" s="154">
        <f t="shared" si="7"/>
        <v>-15.861294398427617</v>
      </c>
      <c r="Y28" s="141">
        <f>R28+G28</f>
        <v>844.42</v>
      </c>
      <c r="Z28" s="142">
        <f>W28+L28</f>
        <v>769.9200000000001</v>
      </c>
      <c r="AA28" s="217">
        <f t="shared" si="8"/>
        <v>-8.822623812794568</v>
      </c>
    </row>
    <row r="29" spans="1:27" ht="25.5" customHeight="1" thickBot="1">
      <c r="A29" s="463" t="s">
        <v>49</v>
      </c>
      <c r="B29" s="439"/>
      <c r="C29" s="144">
        <f>SUM(C26:C28)</f>
        <v>445.66</v>
      </c>
      <c r="D29" s="165">
        <f>SUM(D26:D28)</f>
        <v>426.89</v>
      </c>
      <c r="E29" s="165">
        <f>SUM(E26:E28)</f>
        <v>358.21000000000004</v>
      </c>
      <c r="F29" s="179">
        <f>SUM(F26:F28)</f>
        <v>538.98</v>
      </c>
      <c r="G29" s="144">
        <f aca="true" t="shared" si="20" ref="G29:Z29">SUM(G26:G28)</f>
        <v>872.55</v>
      </c>
      <c r="H29" s="145">
        <f t="shared" si="20"/>
        <v>443.49</v>
      </c>
      <c r="I29" s="145">
        <f t="shared" si="20"/>
        <v>387.78</v>
      </c>
      <c r="J29" s="145">
        <f t="shared" si="20"/>
        <v>0</v>
      </c>
      <c r="K29" s="145">
        <f t="shared" si="20"/>
        <v>0</v>
      </c>
      <c r="L29" s="145">
        <f t="shared" si="20"/>
        <v>831.27</v>
      </c>
      <c r="M29" s="170">
        <f t="shared" si="6"/>
        <v>-4.730960976448338</v>
      </c>
      <c r="N29" s="147">
        <f>SUM(N26:N28)</f>
        <v>413.09</v>
      </c>
      <c r="O29" s="173">
        <f>SUM(O26:O28)</f>
        <v>416.33</v>
      </c>
      <c r="P29" s="173">
        <f>SUM(P26:P28)</f>
        <v>395.76</v>
      </c>
      <c r="Q29" s="182">
        <f>SUM(Q26:Q28)</f>
        <v>398.52</v>
      </c>
      <c r="R29" s="147">
        <f t="shared" si="20"/>
        <v>814.85</v>
      </c>
      <c r="S29" s="70">
        <f t="shared" si="20"/>
        <v>386.13</v>
      </c>
      <c r="T29" s="70">
        <f>SUM(T26:T28)</f>
        <v>336.87</v>
      </c>
      <c r="U29" s="70">
        <f>SUM(U26:U28)</f>
        <v>0</v>
      </c>
      <c r="V29" s="70">
        <f>SUM(V26:V28)</f>
        <v>0</v>
      </c>
      <c r="W29" s="70">
        <f t="shared" si="20"/>
        <v>723</v>
      </c>
      <c r="X29" s="146">
        <f t="shared" si="7"/>
        <v>-11.272013253973126</v>
      </c>
      <c r="Y29" s="144">
        <f>SUM(Y26:Y28)</f>
        <v>1687.4</v>
      </c>
      <c r="Z29" s="145">
        <f t="shared" si="20"/>
        <v>1554.27</v>
      </c>
      <c r="AA29" s="71">
        <f t="shared" si="8"/>
        <v>-7.889652720161202</v>
      </c>
    </row>
    <row r="30" spans="1:27" ht="21.75" customHeight="1" thickBot="1">
      <c r="A30" s="136"/>
      <c r="B30" s="164" t="s">
        <v>0</v>
      </c>
      <c r="C30" s="148">
        <f aca="true" t="shared" si="21" ref="C30:L30">C29+C25+C19+C11</f>
        <v>1725.6799999999998</v>
      </c>
      <c r="D30" s="166">
        <f t="shared" si="21"/>
        <v>1599.4100000000003</v>
      </c>
      <c r="E30" s="166">
        <f t="shared" si="21"/>
        <v>1535.7800000000002</v>
      </c>
      <c r="F30" s="180">
        <f t="shared" si="21"/>
        <v>1887.6</v>
      </c>
      <c r="G30" s="148">
        <f t="shared" si="21"/>
        <v>3325.0899999999997</v>
      </c>
      <c r="H30" s="149">
        <f t="shared" si="21"/>
        <v>1694.83</v>
      </c>
      <c r="I30" s="149">
        <f t="shared" si="21"/>
        <v>1535.07</v>
      </c>
      <c r="J30" s="149">
        <f t="shared" si="21"/>
        <v>0</v>
      </c>
      <c r="K30" s="149">
        <f t="shared" si="21"/>
        <v>0</v>
      </c>
      <c r="L30" s="149">
        <f t="shared" si="21"/>
        <v>3229.9</v>
      </c>
      <c r="M30" s="172">
        <f t="shared" si="6"/>
        <v>-2.862779654084539</v>
      </c>
      <c r="N30" s="150">
        <f aca="true" t="shared" si="22" ref="N30:W30">N29+N25+N19+N11</f>
        <v>2481.85</v>
      </c>
      <c r="O30" s="174">
        <f t="shared" si="22"/>
        <v>2561.15</v>
      </c>
      <c r="P30" s="174">
        <f t="shared" si="22"/>
        <v>2573.8999999999996</v>
      </c>
      <c r="Q30" s="183">
        <f t="shared" si="22"/>
        <v>2520.7</v>
      </c>
      <c r="R30" s="150">
        <f t="shared" si="22"/>
        <v>5081.849999999999</v>
      </c>
      <c r="S30" s="81">
        <f t="shared" si="22"/>
        <v>2301.2799999999997</v>
      </c>
      <c r="T30" s="81">
        <f t="shared" si="22"/>
        <v>2369.08</v>
      </c>
      <c r="U30" s="81">
        <f t="shared" si="22"/>
        <v>0</v>
      </c>
      <c r="V30" s="81">
        <f t="shared" si="22"/>
        <v>0</v>
      </c>
      <c r="W30" s="81">
        <f t="shared" si="22"/>
        <v>4670.36</v>
      </c>
      <c r="X30" s="151">
        <f t="shared" si="7"/>
        <v>-8.097248049430814</v>
      </c>
      <c r="Y30" s="152">
        <f>Y29+Y25+Y19+Y11</f>
        <v>8406.939999999999</v>
      </c>
      <c r="Z30" s="153">
        <f>Z29+Z25+Z19+Z11</f>
        <v>7900.26</v>
      </c>
      <c r="AA30" s="82">
        <f t="shared" si="8"/>
        <v>-6.026925373560398</v>
      </c>
    </row>
    <row r="31" spans="1:27" ht="14.25" customHeight="1" hidden="1">
      <c r="A31" s="89">
        <v>24</v>
      </c>
      <c r="B31" s="90" t="s">
        <v>21</v>
      </c>
      <c r="C31" s="90"/>
      <c r="D31" s="90"/>
      <c r="E31" s="90"/>
      <c r="F31" s="90"/>
      <c r="G31" s="92">
        <v>1008.5999999999999</v>
      </c>
      <c r="H31" s="92"/>
      <c r="I31" s="92"/>
      <c r="J31" s="92"/>
      <c r="K31" s="92"/>
      <c r="L31" s="92">
        <v>1447.44</v>
      </c>
      <c r="M31" s="93">
        <f>SUM(G31:L31)</f>
        <v>2456.04</v>
      </c>
      <c r="N31" s="93"/>
      <c r="O31" s="93"/>
      <c r="P31" s="93"/>
      <c r="Q31" s="93"/>
      <c r="R31" s="94">
        <v>466.15</v>
      </c>
      <c r="S31" s="94"/>
      <c r="T31" s="94"/>
      <c r="U31" s="94"/>
      <c r="V31" s="94"/>
      <c r="W31" s="94">
        <v>730.26</v>
      </c>
      <c r="X31" s="94">
        <v>579.59</v>
      </c>
      <c r="Y31" s="94">
        <v>1658.58</v>
      </c>
      <c r="Z31" s="94">
        <v>2881.78</v>
      </c>
      <c r="AA31" s="94">
        <v>1736.78</v>
      </c>
    </row>
    <row r="32" spans="1:27" ht="14.25" customHeight="1" hidden="1">
      <c r="A32" s="1">
        <v>25</v>
      </c>
      <c r="B32" s="2" t="s">
        <v>23</v>
      </c>
      <c r="C32" s="2"/>
      <c r="D32" s="2"/>
      <c r="E32" s="2"/>
      <c r="F32" s="2"/>
      <c r="G32" s="4">
        <v>30.060000000000002</v>
      </c>
      <c r="H32" s="4"/>
      <c r="I32" s="4"/>
      <c r="J32" s="4"/>
      <c r="K32" s="4"/>
      <c r="L32" s="4">
        <v>28.51</v>
      </c>
      <c r="M32" s="40">
        <f>SUM(G32:L32)</f>
        <v>58.57000000000001</v>
      </c>
      <c r="N32" s="40"/>
      <c r="O32" s="40"/>
      <c r="P32" s="40"/>
      <c r="Q32" s="40"/>
      <c r="R32" s="34">
        <v>2.33</v>
      </c>
      <c r="S32" s="34"/>
      <c r="T32" s="34"/>
      <c r="U32" s="34"/>
      <c r="V32" s="34"/>
      <c r="W32" s="34">
        <v>3.85</v>
      </c>
      <c r="X32" s="34">
        <v>3.4</v>
      </c>
      <c r="Y32" s="34">
        <v>25.11</v>
      </c>
      <c r="Z32" s="34">
        <v>27.25</v>
      </c>
      <c r="AA32" s="34">
        <v>74.17000000000002</v>
      </c>
    </row>
    <row r="33" spans="1:27" s="58" customFormat="1" ht="14.25" customHeight="1" hidden="1">
      <c r="A33" s="464" t="s">
        <v>55</v>
      </c>
      <c r="B33" s="464"/>
      <c r="C33" s="157"/>
      <c r="D33" s="157"/>
      <c r="E33" s="157"/>
      <c r="F33" s="157"/>
      <c r="G33" s="77">
        <f>SUM(G31:G32)</f>
        <v>1038.6599999999999</v>
      </c>
      <c r="H33" s="77"/>
      <c r="I33" s="77"/>
      <c r="J33" s="77"/>
      <c r="K33" s="77"/>
      <c r="L33" s="77">
        <f>SUM(L31:L32)</f>
        <v>1475.95</v>
      </c>
      <c r="M33" s="78">
        <f>SUM(M31:M32)</f>
        <v>2514.61</v>
      </c>
      <c r="N33" s="78"/>
      <c r="O33" s="78"/>
      <c r="P33" s="78"/>
      <c r="Q33" s="78"/>
      <c r="R33" s="78">
        <f>SUM(R31:R32)</f>
        <v>468.47999999999996</v>
      </c>
      <c r="S33" s="78"/>
      <c r="T33" s="78"/>
      <c r="U33" s="78"/>
      <c r="V33" s="78"/>
      <c r="W33" s="78">
        <f>SUM(W31:W32)</f>
        <v>734.11</v>
      </c>
      <c r="X33" s="78">
        <f>SUM(X31:X32)</f>
        <v>582.99</v>
      </c>
      <c r="Y33" s="78">
        <f>SUM(Y31:Y32)</f>
        <v>1683.6899999999998</v>
      </c>
      <c r="Z33" s="78">
        <f>SUM(Z31:Z32)</f>
        <v>2909.03</v>
      </c>
      <c r="AA33" s="78">
        <f>SUM(AA31:AA32)</f>
        <v>1810.95</v>
      </c>
    </row>
    <row r="34" spans="1:27" s="58" customFormat="1" ht="14.25" customHeight="1" hidden="1">
      <c r="A34" s="465" t="s">
        <v>27</v>
      </c>
      <c r="B34" s="466"/>
      <c r="C34" s="156"/>
      <c r="D34" s="156"/>
      <c r="E34" s="156"/>
      <c r="F34" s="156"/>
      <c r="G34" s="80">
        <f>G33+G30</f>
        <v>4363.75</v>
      </c>
      <c r="H34" s="80"/>
      <c r="I34" s="80"/>
      <c r="J34" s="80"/>
      <c r="K34" s="80"/>
      <c r="L34" s="80">
        <f>L33+L30</f>
        <v>4705.85</v>
      </c>
      <c r="M34" s="81">
        <f>M33+M30</f>
        <v>2511.7472203459156</v>
      </c>
      <c r="N34" s="81"/>
      <c r="O34" s="81"/>
      <c r="P34" s="81"/>
      <c r="Q34" s="81"/>
      <c r="R34" s="81">
        <f>R33+R30</f>
        <v>5550.329999999999</v>
      </c>
      <c r="S34" s="81"/>
      <c r="T34" s="81"/>
      <c r="U34" s="81"/>
      <c r="V34" s="81"/>
      <c r="W34" s="81">
        <f>W33+W30</f>
        <v>5404.469999999999</v>
      </c>
      <c r="X34" s="81">
        <f>X33+X30</f>
        <v>574.8927519505692</v>
      </c>
      <c r="Y34" s="81">
        <f>Y33+Y30</f>
        <v>10090.63</v>
      </c>
      <c r="Z34" s="81">
        <f>Z33+Z30</f>
        <v>10809.29</v>
      </c>
      <c r="AA34" s="81">
        <f>AA33+AA30</f>
        <v>1804.9230746264398</v>
      </c>
    </row>
    <row r="35" spans="1:6" ht="24" customHeight="1">
      <c r="A35" s="3" t="s">
        <v>44</v>
      </c>
      <c r="B35" s="57" t="s">
        <v>56</v>
      </c>
      <c r="C35" s="57"/>
      <c r="D35" s="57"/>
      <c r="E35" s="57"/>
      <c r="F35" s="57"/>
    </row>
    <row r="36" ht="0.75" customHeight="1">
      <c r="X36" s="272" t="e">
        <f>SUM(#REF!)</f>
        <v>#REF!</v>
      </c>
    </row>
    <row r="37" ht="13.5" customHeight="1"/>
  </sheetData>
  <sheetProtection/>
  <mergeCells count="13">
    <mergeCell ref="A11:B11"/>
    <mergeCell ref="A19:B19"/>
    <mergeCell ref="A25:B25"/>
    <mergeCell ref="A29:B29"/>
    <mergeCell ref="A33:B33"/>
    <mergeCell ref="A34:B34"/>
    <mergeCell ref="Y1:AA1"/>
    <mergeCell ref="A2:AA2"/>
    <mergeCell ref="A3:A4"/>
    <mergeCell ref="B3:B4"/>
    <mergeCell ref="Y3:AA3"/>
    <mergeCell ref="N3:X3"/>
    <mergeCell ref="C3:M3"/>
  </mergeCells>
  <printOptions horizontalCentered="1"/>
  <pageMargins left="0.1968503937007874" right="0.11811023622047245" top="0.35433070866141736" bottom="0.5511811023622047" header="0.31496062992125984" footer="0.31496062992125984"/>
  <pageSetup horizontalDpi="600" verticalDpi="600" orientation="landscape" paperSize="9" scale="95" r:id="rId1"/>
  <headerFooter>
    <oddFooter>&amp;C&amp;12Page 3 of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E2:W63"/>
  <sheetViews>
    <sheetView zoomScalePageLayoutView="0" workbookViewId="0" topLeftCell="E5">
      <selection activeCell="S12" sqref="S12"/>
    </sheetView>
  </sheetViews>
  <sheetFormatPr defaultColWidth="9.140625" defaultRowHeight="12.75"/>
  <cols>
    <col min="1" max="4" width="0" style="3" hidden="1" customWidth="1"/>
    <col min="5" max="5" width="16.8515625" style="3" customWidth="1"/>
    <col min="6" max="6" width="11.7109375" style="3" bestFit="1" customWidth="1"/>
    <col min="7" max="7" width="10.140625" style="3" customWidth="1"/>
    <col min="8" max="8" width="10.421875" style="3" customWidth="1"/>
    <col min="9" max="9" width="13.7109375" style="3" customWidth="1"/>
    <col min="10" max="12" width="0" style="3" hidden="1" customWidth="1"/>
    <col min="13" max="16" width="9.28125" style="3" hidden="1" customWidth="1"/>
    <col min="17" max="17" width="0" style="3" hidden="1" customWidth="1"/>
    <col min="18" max="16384" width="9.140625" style="3" customWidth="1"/>
  </cols>
  <sheetData>
    <row r="2" spans="5:16" ht="15">
      <c r="E2" s="467" t="s">
        <v>58</v>
      </c>
      <c r="F2" s="467" t="s">
        <v>59</v>
      </c>
      <c r="G2" s="467"/>
      <c r="H2" s="467"/>
      <c r="I2" s="467"/>
      <c r="M2" s="155"/>
      <c r="N2" s="131"/>
      <c r="O2" s="131"/>
      <c r="P2" s="17"/>
    </row>
    <row r="3" spans="5:16" ht="15">
      <c r="E3" s="467"/>
      <c r="F3" s="468" t="s">
        <v>60</v>
      </c>
      <c r="G3" s="470" t="s">
        <v>150</v>
      </c>
      <c r="H3" s="471"/>
      <c r="I3" s="472"/>
      <c r="P3" s="17"/>
    </row>
    <row r="4" spans="5:16" ht="15">
      <c r="E4" s="467"/>
      <c r="F4" s="469"/>
      <c r="G4" s="123" t="s">
        <v>61</v>
      </c>
      <c r="H4" s="123" t="s">
        <v>24</v>
      </c>
      <c r="I4" s="123" t="s">
        <v>62</v>
      </c>
      <c r="P4" s="17"/>
    </row>
    <row r="5" spans="5:16" ht="14.25">
      <c r="E5" s="125" t="s">
        <v>63</v>
      </c>
      <c r="F5" s="126">
        <v>32.3</v>
      </c>
      <c r="G5" s="126">
        <v>8.76</v>
      </c>
      <c r="H5" s="126">
        <v>-7.92</v>
      </c>
      <c r="I5" s="126">
        <f>G5-H5</f>
        <v>16.68</v>
      </c>
      <c r="P5" s="17"/>
    </row>
    <row r="6" spans="5:16" ht="14.25">
      <c r="E6" s="125" t="s">
        <v>66</v>
      </c>
      <c r="F6" s="126">
        <v>27.6</v>
      </c>
      <c r="G6" s="126">
        <v>10.39</v>
      </c>
      <c r="H6" s="126">
        <v>-2.18</v>
      </c>
      <c r="I6" s="126">
        <f>G6-H6</f>
        <v>12.57</v>
      </c>
      <c r="P6" s="17"/>
    </row>
    <row r="7" ht="14.25" hidden="1"/>
    <row r="8" spans="5:9" ht="14.25">
      <c r="E8" s="125" t="s">
        <v>64</v>
      </c>
      <c r="F8" s="126">
        <v>22.3</v>
      </c>
      <c r="G8" s="126">
        <v>9.4</v>
      </c>
      <c r="H8" s="126">
        <v>-3.39</v>
      </c>
      <c r="I8" s="126">
        <f>G8-H8</f>
        <v>12.790000000000001</v>
      </c>
    </row>
    <row r="9" spans="5:9" ht="14.25">
      <c r="E9" s="125" t="s">
        <v>65</v>
      </c>
      <c r="F9" s="126">
        <v>17.9</v>
      </c>
      <c r="G9" s="126">
        <v>6.07</v>
      </c>
      <c r="H9" s="126">
        <v>-4.76</v>
      </c>
      <c r="I9" s="126">
        <f>G9-H9</f>
        <v>10.83</v>
      </c>
    </row>
    <row r="10" spans="5:9" ht="14.25">
      <c r="E10" s="129"/>
      <c r="F10" s="130"/>
      <c r="G10" s="130"/>
      <c r="H10" s="130"/>
      <c r="I10" s="130"/>
    </row>
    <row r="11" spans="5:16" ht="15">
      <c r="E11" s="468" t="s">
        <v>67</v>
      </c>
      <c r="F11" s="470" t="s">
        <v>59</v>
      </c>
      <c r="G11" s="471"/>
      <c r="H11" s="471"/>
      <c r="I11" s="472"/>
      <c r="L11" s="3" t="s">
        <v>18</v>
      </c>
      <c r="M11" s="131">
        <v>1.3682834960412023</v>
      </c>
      <c r="N11" s="131">
        <v>-4.127432817006335</v>
      </c>
      <c r="O11" s="131">
        <v>-4.435674822415157</v>
      </c>
      <c r="P11" s="131">
        <f>N11-O11</f>
        <v>0.30824200540882174</v>
      </c>
    </row>
    <row r="12" spans="5:17" ht="15">
      <c r="E12" s="473"/>
      <c r="F12" s="468" t="s">
        <v>60</v>
      </c>
      <c r="G12" s="470" t="str">
        <f>G3</f>
        <v>Growth Rate (Y-oY) for Apr -June </v>
      </c>
      <c r="H12" s="471"/>
      <c r="I12" s="472"/>
      <c r="L12" s="3" t="s">
        <v>15</v>
      </c>
      <c r="M12" s="155">
        <v>8.679179553271629</v>
      </c>
      <c r="N12" s="131">
        <v>9.415839916975646</v>
      </c>
      <c r="O12" s="131">
        <v>4.986752460257382</v>
      </c>
      <c r="P12" s="131">
        <f>N12-O12</f>
        <v>4.429087456718264</v>
      </c>
      <c r="Q12" s="131"/>
    </row>
    <row r="13" spans="5:17" ht="15">
      <c r="E13" s="473"/>
      <c r="F13" s="469"/>
      <c r="G13" s="124" t="s">
        <v>61</v>
      </c>
      <c r="H13" s="124" t="s">
        <v>24</v>
      </c>
      <c r="I13" s="124" t="s">
        <v>62</v>
      </c>
      <c r="L13" s="3" t="s">
        <v>8</v>
      </c>
      <c r="M13" s="131">
        <v>8.331438845665495</v>
      </c>
      <c r="N13" s="131">
        <v>9.590347621864852</v>
      </c>
      <c r="O13" s="131">
        <v>3.2542436462534075</v>
      </c>
      <c r="P13" s="131">
        <f>N13-O13</f>
        <v>6.3361039756114454</v>
      </c>
      <c r="Q13" s="131"/>
    </row>
    <row r="14" spans="5:17" ht="14.25" customHeight="1">
      <c r="E14" s="2" t="s">
        <v>18</v>
      </c>
      <c r="F14" s="38">
        <v>5.08</v>
      </c>
      <c r="G14" s="126">
        <v>8.78</v>
      </c>
      <c r="H14" s="126">
        <v>4.39</v>
      </c>
      <c r="I14" s="126">
        <f>G14-H14</f>
        <v>4.39</v>
      </c>
      <c r="L14" s="3" t="s">
        <v>9</v>
      </c>
      <c r="M14" s="131">
        <v>5.084886676926885</v>
      </c>
      <c r="N14" s="131">
        <v>7.6846255534581465</v>
      </c>
      <c r="O14" s="131">
        <v>-4.052833321125996</v>
      </c>
      <c r="P14" s="131">
        <f>N14-O14</f>
        <v>11.737458874584142</v>
      </c>
      <c r="Q14" s="131"/>
    </row>
    <row r="15" spans="12:17" ht="14.25" hidden="1">
      <c r="L15" s="3" t="s">
        <v>1</v>
      </c>
      <c r="M15" s="155">
        <v>8.892806889283959</v>
      </c>
      <c r="N15" s="131">
        <v>4.243741112939558</v>
      </c>
      <c r="O15" s="131">
        <v>-13.132289960330787</v>
      </c>
      <c r="P15" s="131">
        <f>N15-O15</f>
        <v>17.376031073270347</v>
      </c>
      <c r="Q15" s="131"/>
    </row>
    <row r="16" spans="5:23" ht="14.25">
      <c r="E16" s="2" t="s">
        <v>8</v>
      </c>
      <c r="F16" s="38">
        <v>8.65</v>
      </c>
      <c r="G16" s="126">
        <v>13.01</v>
      </c>
      <c r="H16" s="126">
        <v>0.65</v>
      </c>
      <c r="I16" s="126">
        <f>G16-H16</f>
        <v>12.36</v>
      </c>
      <c r="Q16" s="131"/>
      <c r="W16" s="317"/>
    </row>
    <row r="17" spans="5:17" s="58" customFormat="1" ht="15">
      <c r="E17" s="322" t="s">
        <v>9</v>
      </c>
      <c r="F17" s="323">
        <v>5.08</v>
      </c>
      <c r="G17" s="324">
        <v>8.78</v>
      </c>
      <c r="H17" s="324">
        <v>4.39</v>
      </c>
      <c r="I17" s="324">
        <f>G17-H17</f>
        <v>4.39</v>
      </c>
      <c r="Q17" s="325"/>
    </row>
    <row r="18" spans="5:17" ht="14.25">
      <c r="E18" s="2" t="s">
        <v>15</v>
      </c>
      <c r="F18" s="38">
        <v>8.48</v>
      </c>
      <c r="G18" s="126">
        <v>6.36</v>
      </c>
      <c r="H18" s="126">
        <v>-11.4</v>
      </c>
      <c r="I18" s="126">
        <f>G18-H18</f>
        <v>17.76</v>
      </c>
      <c r="Q18" s="131"/>
    </row>
    <row r="19" spans="5:17" s="320" customFormat="1" ht="28.5">
      <c r="E19" s="318" t="s">
        <v>1</v>
      </c>
      <c r="F19" s="326">
        <v>8.74</v>
      </c>
      <c r="G19" s="319">
        <v>6.93</v>
      </c>
      <c r="H19" s="319">
        <v>-27.78</v>
      </c>
      <c r="I19" s="319">
        <f>G19-H19</f>
        <v>34.71</v>
      </c>
      <c r="O19" s="321"/>
      <c r="Q19" s="321"/>
    </row>
    <row r="20" ht="14.25">
      <c r="P20" s="131"/>
    </row>
    <row r="21" spans="5:9" ht="15">
      <c r="E21" s="467" t="s">
        <v>67</v>
      </c>
      <c r="F21" s="467" t="s">
        <v>59</v>
      </c>
      <c r="G21" s="467"/>
      <c r="H21" s="467"/>
      <c r="I21" s="467"/>
    </row>
    <row r="22" spans="5:17" ht="15">
      <c r="E22" s="467"/>
      <c r="F22" s="468" t="s">
        <v>60</v>
      </c>
      <c r="G22" s="470" t="str">
        <f>G12</f>
        <v>Growth Rate (Y-oY) for Apr -June </v>
      </c>
      <c r="H22" s="471"/>
      <c r="I22" s="472"/>
      <c r="Q22" s="131"/>
    </row>
    <row r="23" spans="5:17" ht="15">
      <c r="E23" s="468"/>
      <c r="F23" s="473"/>
      <c r="G23" s="124" t="s">
        <v>61</v>
      </c>
      <c r="H23" s="124" t="s">
        <v>24</v>
      </c>
      <c r="I23" s="124" t="s">
        <v>62</v>
      </c>
      <c r="L23" s="3" t="s">
        <v>7</v>
      </c>
      <c r="M23" s="3">
        <v>1.24600045031563</v>
      </c>
      <c r="N23" s="3">
        <v>18.022205009036927</v>
      </c>
      <c r="O23" s="3">
        <v>72.40110395584173</v>
      </c>
      <c r="P23" s="131">
        <f aca="true" t="shared" si="0" ref="P23:P30">N23-O23</f>
        <v>-54.37889894680481</v>
      </c>
      <c r="Q23" s="131"/>
    </row>
    <row r="24" spans="5:17" ht="14.25">
      <c r="E24" s="2" t="s">
        <v>7</v>
      </c>
      <c r="F24" s="126">
        <v>1.3</v>
      </c>
      <c r="G24" s="126">
        <v>11.23</v>
      </c>
      <c r="H24" s="126">
        <v>-9.51</v>
      </c>
      <c r="I24" s="126">
        <f aca="true" t="shared" si="1" ref="I24:I30">G24-H24</f>
        <v>20.740000000000002</v>
      </c>
      <c r="L24" s="3" t="s">
        <v>54</v>
      </c>
      <c r="M24" s="3">
        <v>5.058854508253698</v>
      </c>
      <c r="N24" s="3">
        <v>9.361225692398358</v>
      </c>
      <c r="O24" s="3">
        <v>17.999366888255782</v>
      </c>
      <c r="P24" s="131">
        <f t="shared" si="0"/>
        <v>-8.638141195857424</v>
      </c>
      <c r="Q24" s="131"/>
    </row>
    <row r="25" spans="5:17" ht="14.25">
      <c r="E25" s="2" t="s">
        <v>13</v>
      </c>
      <c r="F25" s="126">
        <v>4.3</v>
      </c>
      <c r="G25" s="126">
        <v>8.77</v>
      </c>
      <c r="H25" s="126">
        <v>-0.34</v>
      </c>
      <c r="I25" s="126">
        <f t="shared" si="1"/>
        <v>9.11</v>
      </c>
      <c r="P25" s="131"/>
      <c r="Q25" s="131"/>
    </row>
    <row r="26" spans="5:17" ht="14.25">
      <c r="E26" s="2" t="s">
        <v>6</v>
      </c>
      <c r="F26" s="126">
        <v>0.9</v>
      </c>
      <c r="G26" s="126">
        <v>12.97</v>
      </c>
      <c r="H26" s="126">
        <v>7.46</v>
      </c>
      <c r="I26" s="126">
        <f t="shared" si="1"/>
        <v>5.510000000000001</v>
      </c>
      <c r="L26" s="3" t="s">
        <v>5</v>
      </c>
      <c r="M26" s="3">
        <v>2.491128618539593</v>
      </c>
      <c r="N26" s="3">
        <v>10.355987055016165</v>
      </c>
      <c r="O26" s="3">
        <v>5.283355644801416</v>
      </c>
      <c r="P26" s="131">
        <f t="shared" si="0"/>
        <v>5.072631410214749</v>
      </c>
      <c r="Q26" s="131"/>
    </row>
    <row r="27" spans="5:17" ht="14.25">
      <c r="E27" s="2" t="s">
        <v>5</v>
      </c>
      <c r="F27" s="126">
        <v>2.5</v>
      </c>
      <c r="G27" s="126">
        <v>10.56</v>
      </c>
      <c r="H27" s="126">
        <v>1.27</v>
      </c>
      <c r="I27" s="126">
        <f t="shared" si="1"/>
        <v>9.290000000000001</v>
      </c>
      <c r="L27" s="3" t="s">
        <v>53</v>
      </c>
      <c r="M27" s="3">
        <v>7.3684666752804535</v>
      </c>
      <c r="N27" s="3">
        <v>9.39586722676833</v>
      </c>
      <c r="O27" s="3">
        <v>4.099693657577238</v>
      </c>
      <c r="P27" s="131">
        <f t="shared" si="0"/>
        <v>5.296173569191091</v>
      </c>
      <c r="Q27" s="131"/>
    </row>
    <row r="28" spans="5:17" ht="14.25">
      <c r="E28" s="2" t="s">
        <v>14</v>
      </c>
      <c r="F28" s="126">
        <v>6.1</v>
      </c>
      <c r="G28" s="126">
        <v>12.38</v>
      </c>
      <c r="H28" s="126">
        <v>20.11</v>
      </c>
      <c r="I28" s="126">
        <f t="shared" si="1"/>
        <v>-7.729999999999999</v>
      </c>
      <c r="L28" s="3" t="s">
        <v>13</v>
      </c>
      <c r="M28" s="3">
        <v>4.305802474991399</v>
      </c>
      <c r="N28" s="3">
        <v>5.236508994003961</v>
      </c>
      <c r="O28" s="3">
        <v>-1.3521001884074022</v>
      </c>
      <c r="P28" s="131">
        <f t="shared" si="0"/>
        <v>6.588609182411362</v>
      </c>
      <c r="Q28" s="131"/>
    </row>
    <row r="29" spans="5:17" ht="14.25">
      <c r="E29" s="2" t="s">
        <v>53</v>
      </c>
      <c r="F29" s="126">
        <v>7.4</v>
      </c>
      <c r="G29" s="126">
        <v>9.56</v>
      </c>
      <c r="H29" s="126">
        <v>-15.58</v>
      </c>
      <c r="I29" s="126">
        <f t="shared" si="1"/>
        <v>25.14</v>
      </c>
      <c r="L29" s="3" t="s">
        <v>6</v>
      </c>
      <c r="M29" s="3">
        <v>0.844614394071971</v>
      </c>
      <c r="N29" s="3">
        <v>8.49849429231738</v>
      </c>
      <c r="O29" s="3">
        <v>0.8733624454148471</v>
      </c>
      <c r="P29" s="131">
        <f t="shared" si="0"/>
        <v>7.625131846902533</v>
      </c>
      <c r="Q29" s="131"/>
    </row>
    <row r="30" spans="5:16" ht="14.25">
      <c r="E30" s="2" t="s">
        <v>54</v>
      </c>
      <c r="F30" s="126">
        <v>5.1</v>
      </c>
      <c r="G30" s="126">
        <v>9.95</v>
      </c>
      <c r="H30" s="126">
        <v>-10.92</v>
      </c>
      <c r="I30" s="126">
        <f t="shared" si="1"/>
        <v>20.869999999999997</v>
      </c>
      <c r="L30" s="3" t="s">
        <v>14</v>
      </c>
      <c r="M30" s="3">
        <v>5.861681138371744</v>
      </c>
      <c r="N30" s="3">
        <v>11.303888736484149</v>
      </c>
      <c r="O30" s="3">
        <v>3.1069327836709815</v>
      </c>
      <c r="P30" s="131">
        <f t="shared" si="0"/>
        <v>8.196955952813168</v>
      </c>
    </row>
    <row r="33" spans="5:15" ht="15">
      <c r="E33" s="467" t="s">
        <v>67</v>
      </c>
      <c r="F33" s="467" t="s">
        <v>59</v>
      </c>
      <c r="G33" s="467"/>
      <c r="H33" s="467"/>
      <c r="I33" s="467"/>
      <c r="O33" s="131"/>
    </row>
    <row r="34" spans="5:16" ht="15">
      <c r="E34" s="467"/>
      <c r="F34" s="468" t="s">
        <v>60</v>
      </c>
      <c r="G34" s="470" t="str">
        <f>G45</f>
        <v>Growth Rate (Y-oY) for Apr -June </v>
      </c>
      <c r="H34" s="471"/>
      <c r="I34" s="472"/>
      <c r="O34" s="131"/>
      <c r="P34" s="131"/>
    </row>
    <row r="35" spans="5:16" ht="15">
      <c r="E35" s="468"/>
      <c r="F35" s="473"/>
      <c r="G35" s="124" t="s">
        <v>61</v>
      </c>
      <c r="H35" s="124" t="s">
        <v>24</v>
      </c>
      <c r="I35" s="124" t="s">
        <v>62</v>
      </c>
      <c r="L35" s="3" t="s">
        <v>2</v>
      </c>
      <c r="M35" s="3">
        <v>2.0408129887164863</v>
      </c>
      <c r="N35" s="3">
        <v>9.460941269353924</v>
      </c>
      <c r="O35" s="131">
        <v>-0.39457709429382315</v>
      </c>
      <c r="P35" s="131">
        <f aca="true" t="shared" si="2" ref="P35:P41">N35-O35</f>
        <v>9.855518363647747</v>
      </c>
    </row>
    <row r="36" spans="5:16" ht="14.25">
      <c r="E36" s="2" t="s">
        <v>2</v>
      </c>
      <c r="F36" s="126">
        <v>1.6</v>
      </c>
      <c r="G36" s="126">
        <v>-14.60303467436021</v>
      </c>
      <c r="H36" s="126">
        <v>-8.08</v>
      </c>
      <c r="I36" s="126">
        <f aca="true" t="shared" si="3" ref="I36:I41">G36-H36</f>
        <v>-6.5230346743602095</v>
      </c>
      <c r="J36" s="3">
        <v>-6.527869615954938</v>
      </c>
      <c r="L36" s="3" t="s">
        <v>12</v>
      </c>
      <c r="M36" s="3">
        <v>2.3744608887791268</v>
      </c>
      <c r="N36" s="3">
        <v>8.667664670658654</v>
      </c>
      <c r="O36" s="131">
        <v>-6.116679516833708</v>
      </c>
      <c r="P36" s="131">
        <f t="shared" si="2"/>
        <v>14.784344187492362</v>
      </c>
    </row>
    <row r="37" spans="5:16" ht="15" customHeight="1">
      <c r="E37" s="2" t="s">
        <v>12</v>
      </c>
      <c r="F37" s="126">
        <v>2.5</v>
      </c>
      <c r="G37" s="126">
        <v>12.41</v>
      </c>
      <c r="H37" s="126">
        <v>5.29</v>
      </c>
      <c r="I37" s="126">
        <f t="shared" si="3"/>
        <v>7.12</v>
      </c>
      <c r="J37" s="3">
        <v>25.9920122571387</v>
      </c>
      <c r="L37" s="3" t="s">
        <v>52</v>
      </c>
      <c r="M37" s="3">
        <v>1.2715964779429845</v>
      </c>
      <c r="N37" s="3">
        <v>14.232191395058406</v>
      </c>
      <c r="O37" s="131">
        <v>-4.2965204236005885</v>
      </c>
      <c r="P37" s="131">
        <f t="shared" si="2"/>
        <v>18.528711818658994</v>
      </c>
    </row>
    <row r="38" spans="5:16" ht="14.25">
      <c r="E38" s="2" t="s">
        <v>52</v>
      </c>
      <c r="F38" s="126">
        <v>1.2</v>
      </c>
      <c r="G38" s="126">
        <v>4.891851915367959</v>
      </c>
      <c r="H38" s="126">
        <v>-7.48</v>
      </c>
      <c r="I38" s="126">
        <f t="shared" si="3"/>
        <v>12.371851915367959</v>
      </c>
      <c r="J38" s="3">
        <v>12.368930638099549</v>
      </c>
      <c r="L38" s="3" t="s">
        <v>3</v>
      </c>
      <c r="M38" s="3">
        <v>5.860509009311067</v>
      </c>
      <c r="N38" s="3">
        <v>10.3098496159589</v>
      </c>
      <c r="O38" s="131">
        <v>-8.4680879149891</v>
      </c>
      <c r="P38" s="131">
        <f t="shared" si="2"/>
        <v>18.777937530948</v>
      </c>
    </row>
    <row r="39" spans="5:16" ht="14.25">
      <c r="E39" s="2" t="s">
        <v>17</v>
      </c>
      <c r="F39" s="126">
        <v>2.8</v>
      </c>
      <c r="G39" s="126">
        <v>8.11</v>
      </c>
      <c r="H39" s="126">
        <v>-3.66</v>
      </c>
      <c r="I39" s="126">
        <f t="shared" si="3"/>
        <v>11.77</v>
      </c>
      <c r="J39" s="3">
        <v>7.1208575247738555</v>
      </c>
      <c r="O39" s="131"/>
      <c r="P39" s="131"/>
    </row>
    <row r="40" spans="5:16" ht="14.25">
      <c r="E40" s="2" t="s">
        <v>16</v>
      </c>
      <c r="F40" s="126">
        <v>3.9</v>
      </c>
      <c r="G40" s="126">
        <v>11.499528766807911</v>
      </c>
      <c r="H40" s="126">
        <v>5.596620908130936</v>
      </c>
      <c r="I40" s="126">
        <f t="shared" si="3"/>
        <v>5.902907858676975</v>
      </c>
      <c r="J40" s="3">
        <v>5.902907858676975</v>
      </c>
      <c r="L40" s="3" t="s">
        <v>16</v>
      </c>
      <c r="M40" s="3">
        <v>3.788893559232588</v>
      </c>
      <c r="N40" s="3">
        <v>7.771333757191373</v>
      </c>
      <c r="O40" s="3">
        <v>-16.24657291943043</v>
      </c>
      <c r="P40" s="131">
        <f t="shared" si="2"/>
        <v>24.017906676621806</v>
      </c>
    </row>
    <row r="41" spans="5:16" ht="14.25">
      <c r="E41" s="2" t="s">
        <v>3</v>
      </c>
      <c r="F41" s="126">
        <v>3</v>
      </c>
      <c r="G41" s="126">
        <v>6.41</v>
      </c>
      <c r="H41" s="126">
        <v>-19.58</v>
      </c>
      <c r="I41" s="126">
        <f t="shared" si="3"/>
        <v>25.99</v>
      </c>
      <c r="J41" s="3">
        <v>11.77232758022463</v>
      </c>
      <c r="L41" s="3" t="s">
        <v>17</v>
      </c>
      <c r="M41" s="3">
        <v>2.9852491646536037</v>
      </c>
      <c r="N41" s="3">
        <v>13.648392017683134</v>
      </c>
      <c r="O41" s="3">
        <v>-15.796019900497512</v>
      </c>
      <c r="P41" s="131">
        <f t="shared" si="2"/>
        <v>29.44441191818065</v>
      </c>
    </row>
    <row r="42" ht="14.25" hidden="1">
      <c r="P42" s="131"/>
    </row>
    <row r="44" spans="5:9" ht="15">
      <c r="E44" s="467" t="s">
        <v>67</v>
      </c>
      <c r="F44" s="467" t="s">
        <v>59</v>
      </c>
      <c r="G44" s="467"/>
      <c r="H44" s="467"/>
      <c r="I44" s="467"/>
    </row>
    <row r="45" spans="5:16" ht="15">
      <c r="E45" s="467"/>
      <c r="F45" s="468" t="s">
        <v>60</v>
      </c>
      <c r="G45" s="470" t="str">
        <f>G22</f>
        <v>Growth Rate (Y-oY) for Apr -June </v>
      </c>
      <c r="H45" s="471"/>
      <c r="I45" s="472"/>
      <c r="O45" s="131"/>
      <c r="P45" s="131"/>
    </row>
    <row r="46" spans="5:16" ht="15">
      <c r="E46" s="468"/>
      <c r="F46" s="473"/>
      <c r="G46" s="123" t="s">
        <v>61</v>
      </c>
      <c r="H46" s="124" t="s">
        <v>24</v>
      </c>
      <c r="I46" s="124" t="s">
        <v>62</v>
      </c>
      <c r="P46" s="131"/>
    </row>
    <row r="47" spans="5:16" ht="14.25">
      <c r="E47" s="127" t="s">
        <v>4</v>
      </c>
      <c r="F47" s="126">
        <v>6.58</v>
      </c>
      <c r="G47" s="126">
        <v>6.1</v>
      </c>
      <c r="H47" s="39">
        <v>-3.07</v>
      </c>
      <c r="I47" s="126">
        <f>G47-H47</f>
        <v>9.17</v>
      </c>
      <c r="K47" s="3" t="s">
        <v>4</v>
      </c>
      <c r="L47" s="3">
        <v>6.754380082746859</v>
      </c>
      <c r="M47" s="3">
        <v>8.907309654932945</v>
      </c>
      <c r="N47" s="3">
        <v>-1.4024816497727977</v>
      </c>
      <c r="O47" s="131">
        <f>M47-N47</f>
        <v>10.309791304705742</v>
      </c>
      <c r="P47" s="131"/>
    </row>
    <row r="48" spans="5:15" ht="14.25">
      <c r="E48" s="127" t="s">
        <v>11</v>
      </c>
      <c r="F48" s="126">
        <v>9.92</v>
      </c>
      <c r="G48" s="126">
        <v>10.76</v>
      </c>
      <c r="H48" s="126">
        <v>-3.22</v>
      </c>
      <c r="I48" s="126">
        <f>G48-H48</f>
        <v>13.98</v>
      </c>
      <c r="K48" s="3" t="s">
        <v>11</v>
      </c>
      <c r="L48" s="3">
        <v>9.746471210056978</v>
      </c>
      <c r="M48" s="3">
        <v>7.812292699400566</v>
      </c>
      <c r="N48" s="3">
        <v>-2.5516996538563825</v>
      </c>
      <c r="O48" s="131">
        <f>M48-N48</f>
        <v>10.363992353256949</v>
      </c>
    </row>
    <row r="49" spans="5:15" ht="14.25">
      <c r="E49" s="127" t="s">
        <v>10</v>
      </c>
      <c r="F49" s="126">
        <v>5.76</v>
      </c>
      <c r="G49" s="128">
        <v>11.01</v>
      </c>
      <c r="H49" s="126">
        <v>-4.15</v>
      </c>
      <c r="I49" s="126">
        <f>G49-H49</f>
        <v>15.16</v>
      </c>
      <c r="K49" s="3" t="s">
        <v>10</v>
      </c>
      <c r="L49" s="3">
        <v>5.644482897546653</v>
      </c>
      <c r="M49" s="3">
        <v>12.182595363603385</v>
      </c>
      <c r="N49" s="3">
        <v>-7.920980150061725</v>
      </c>
      <c r="O49" s="131">
        <f>M49-N49</f>
        <v>20.10357551366511</v>
      </c>
    </row>
    <row r="51" ht="14.25">
      <c r="O51" s="131"/>
    </row>
    <row r="58" ht="14.25">
      <c r="O58" s="131"/>
    </row>
    <row r="59" ht="14.25">
      <c r="O59" s="131"/>
    </row>
    <row r="60" ht="14.25">
      <c r="O60" s="131"/>
    </row>
    <row r="61" ht="14.25">
      <c r="O61" s="131"/>
    </row>
    <row r="62" ht="14.25">
      <c r="O62" s="131"/>
    </row>
    <row r="63" ht="14.25">
      <c r="O63" s="131"/>
    </row>
  </sheetData>
  <sheetProtection/>
  <mergeCells count="20">
    <mergeCell ref="F34:F35"/>
    <mergeCell ref="G34:I34"/>
    <mergeCell ref="E11:E13"/>
    <mergeCell ref="F11:I11"/>
    <mergeCell ref="F12:F13"/>
    <mergeCell ref="G12:I12"/>
    <mergeCell ref="E21:E23"/>
    <mergeCell ref="F21:I21"/>
    <mergeCell ref="F22:F23"/>
    <mergeCell ref="G22:I22"/>
    <mergeCell ref="E2:E4"/>
    <mergeCell ref="F2:I2"/>
    <mergeCell ref="F3:F4"/>
    <mergeCell ref="G3:I3"/>
    <mergeCell ref="E44:E46"/>
    <mergeCell ref="F44:I44"/>
    <mergeCell ref="F45:F46"/>
    <mergeCell ref="G45:I45"/>
    <mergeCell ref="E33:E35"/>
    <mergeCell ref="F33:I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pane ySplit="2" topLeftCell="A11" activePane="bottomLeft" state="frozen"/>
      <selection pane="topLeft" activeCell="A1" sqref="A1"/>
      <selection pane="bottomLeft" activeCell="E3" sqref="E3:E33"/>
    </sheetView>
  </sheetViews>
  <sheetFormatPr defaultColWidth="9.140625" defaultRowHeight="12.75"/>
  <cols>
    <col min="2" max="2" width="18.7109375" style="0" customWidth="1"/>
    <col min="4" max="4" width="10.7109375" style="0" customWidth="1"/>
    <col min="6" max="6" width="14.7109375" style="0" customWidth="1"/>
    <col min="9" max="9" width="19.28125" style="0" customWidth="1"/>
  </cols>
  <sheetData>
    <row r="1" spans="1:6" ht="15" customHeight="1">
      <c r="A1" s="476" t="s">
        <v>51</v>
      </c>
      <c r="B1" s="381" t="s">
        <v>41</v>
      </c>
      <c r="C1" s="474" t="s">
        <v>24</v>
      </c>
      <c r="D1" s="474"/>
      <c r="E1" s="474"/>
      <c r="F1" s="475" t="s">
        <v>162</v>
      </c>
    </row>
    <row r="2" spans="1:6" ht="12.75">
      <c r="A2" s="476"/>
      <c r="B2" s="381"/>
      <c r="C2" s="382" t="s">
        <v>70</v>
      </c>
      <c r="D2" s="382" t="s">
        <v>71</v>
      </c>
      <c r="E2" s="382" t="s">
        <v>161</v>
      </c>
      <c r="F2" s="475"/>
    </row>
    <row r="3" spans="1:11" ht="12.75">
      <c r="A3" s="380">
        <v>1</v>
      </c>
      <c r="B3" s="380" t="s">
        <v>2</v>
      </c>
      <c r="C3">
        <v>15.55</v>
      </c>
      <c r="D3">
        <v>59.96</v>
      </c>
      <c r="E3">
        <f>SUM(C3:D3)</f>
        <v>75.51</v>
      </c>
      <c r="F3">
        <v>611.15</v>
      </c>
      <c r="I3" t="s">
        <v>1</v>
      </c>
      <c r="J3">
        <v>317.88</v>
      </c>
      <c r="K3" s="374"/>
    </row>
    <row r="4" spans="1:10" ht="12.75">
      <c r="A4" s="192">
        <v>2</v>
      </c>
      <c r="B4" s="192" t="s">
        <v>3</v>
      </c>
      <c r="C4">
        <v>56.88</v>
      </c>
      <c r="D4">
        <v>72.11</v>
      </c>
      <c r="E4">
        <f>SUM(C4:D4)</f>
        <v>128.99</v>
      </c>
      <c r="F4">
        <v>2182.61</v>
      </c>
      <c r="I4" t="s">
        <v>2</v>
      </c>
      <c r="J4">
        <v>90.5</v>
      </c>
    </row>
    <row r="5" spans="1:10" ht="12.75">
      <c r="A5" s="192">
        <v>3</v>
      </c>
      <c r="B5" s="192" t="s">
        <v>52</v>
      </c>
      <c r="C5">
        <v>15.87</v>
      </c>
      <c r="D5">
        <v>45.93</v>
      </c>
      <c r="E5">
        <f aca="true" t="shared" si="0" ref="E5:E26">SUM(C5:D5)</f>
        <v>61.8</v>
      </c>
      <c r="F5">
        <v>479.12</v>
      </c>
      <c r="I5" t="s">
        <v>3</v>
      </c>
      <c r="J5">
        <v>111.53</v>
      </c>
    </row>
    <row r="6" spans="1:10" ht="12.75">
      <c r="A6" s="192">
        <v>4</v>
      </c>
      <c r="B6" s="192" t="s">
        <v>12</v>
      </c>
      <c r="C6">
        <v>35.58</v>
      </c>
      <c r="D6">
        <v>99.02</v>
      </c>
      <c r="E6">
        <f t="shared" si="0"/>
        <v>134.6</v>
      </c>
      <c r="F6">
        <v>917.35</v>
      </c>
      <c r="I6" t="s">
        <v>4</v>
      </c>
      <c r="J6">
        <v>218.74</v>
      </c>
    </row>
    <row r="7" spans="1:10" ht="12.75">
      <c r="A7" s="192">
        <v>5</v>
      </c>
      <c r="B7" s="192" t="s">
        <v>16</v>
      </c>
      <c r="C7">
        <v>21.82</v>
      </c>
      <c r="D7">
        <v>78.03</v>
      </c>
      <c r="E7">
        <f t="shared" si="0"/>
        <v>99.85</v>
      </c>
      <c r="F7">
        <v>1465.97</v>
      </c>
      <c r="I7" t="s">
        <v>5</v>
      </c>
      <c r="J7">
        <v>119.47</v>
      </c>
    </row>
    <row r="8" spans="1:10" ht="12.75">
      <c r="A8" s="192">
        <v>6</v>
      </c>
      <c r="B8" s="192" t="s">
        <v>17</v>
      </c>
      <c r="C8">
        <v>67.53</v>
      </c>
      <c r="D8">
        <v>29.25</v>
      </c>
      <c r="E8">
        <f t="shared" si="0"/>
        <v>96.78</v>
      </c>
      <c r="F8">
        <v>1211.08</v>
      </c>
      <c r="I8" t="s">
        <v>6</v>
      </c>
      <c r="J8">
        <v>62.06</v>
      </c>
    </row>
    <row r="9" spans="1:10" ht="12.75">
      <c r="A9" s="376" t="s">
        <v>45</v>
      </c>
      <c r="B9" s="376"/>
      <c r="C9" s="377">
        <f>SUM(C3:C8)</f>
        <v>213.23000000000002</v>
      </c>
      <c r="D9" s="377">
        <f>SUM(D3:D8)</f>
        <v>384.29999999999995</v>
      </c>
      <c r="E9" s="377">
        <f>SUM(E3:E8)</f>
        <v>597.53</v>
      </c>
      <c r="F9" s="377">
        <f>SUM(F3:F8)</f>
        <v>6867.280000000001</v>
      </c>
      <c r="I9" t="s">
        <v>7</v>
      </c>
      <c r="J9">
        <v>67.83</v>
      </c>
    </row>
    <row r="10" spans="1:10" ht="12.75">
      <c r="A10" s="192">
        <v>7</v>
      </c>
      <c r="B10" s="192" t="s">
        <v>5</v>
      </c>
      <c r="C10">
        <v>48.56</v>
      </c>
      <c r="D10">
        <v>73.92</v>
      </c>
      <c r="E10">
        <f t="shared" si="0"/>
        <v>122.48</v>
      </c>
      <c r="F10">
        <v>995.63</v>
      </c>
      <c r="I10" t="s">
        <v>8</v>
      </c>
      <c r="J10">
        <v>332.45000000000005</v>
      </c>
    </row>
    <row r="11" spans="1:10" ht="12.75">
      <c r="A11" s="192">
        <v>8</v>
      </c>
      <c r="B11" s="192" t="s">
        <v>6</v>
      </c>
      <c r="C11">
        <v>21.98</v>
      </c>
      <c r="D11">
        <v>43.01</v>
      </c>
      <c r="E11">
        <f t="shared" si="0"/>
        <v>64.99</v>
      </c>
      <c r="F11">
        <v>361.38</v>
      </c>
      <c r="I11" t="s">
        <v>9</v>
      </c>
      <c r="J11">
        <v>410.25</v>
      </c>
    </row>
    <row r="12" spans="1:10" ht="12.75">
      <c r="A12" s="192">
        <v>9</v>
      </c>
      <c r="B12" s="192" t="s">
        <v>7</v>
      </c>
      <c r="C12">
        <v>15.89</v>
      </c>
      <c r="D12">
        <v>52.5</v>
      </c>
      <c r="E12">
        <f t="shared" si="0"/>
        <v>68.39</v>
      </c>
      <c r="F12">
        <v>499.1</v>
      </c>
      <c r="I12" t="s">
        <v>10</v>
      </c>
      <c r="J12">
        <v>185.86</v>
      </c>
    </row>
    <row r="13" spans="1:10" ht="12.75">
      <c r="A13" s="192">
        <v>10</v>
      </c>
      <c r="B13" s="192" t="s">
        <v>13</v>
      </c>
      <c r="C13">
        <v>87.49</v>
      </c>
      <c r="D13">
        <v>113.3</v>
      </c>
      <c r="E13">
        <f t="shared" si="0"/>
        <v>200.79</v>
      </c>
      <c r="F13">
        <v>1757.77</v>
      </c>
      <c r="I13" t="s">
        <v>11</v>
      </c>
      <c r="J13">
        <v>425.02</v>
      </c>
    </row>
    <row r="14" spans="1:10" ht="12.75">
      <c r="A14" s="192">
        <v>11</v>
      </c>
      <c r="B14" s="192" t="s">
        <v>14</v>
      </c>
      <c r="C14">
        <v>97.73</v>
      </c>
      <c r="D14">
        <v>101.71</v>
      </c>
      <c r="E14">
        <f t="shared" si="0"/>
        <v>199.44</v>
      </c>
      <c r="F14">
        <v>2307.93</v>
      </c>
      <c r="I14" t="s">
        <v>78</v>
      </c>
      <c r="J14">
        <v>58.53</v>
      </c>
    </row>
    <row r="15" spans="1:10" ht="12.75">
      <c r="A15" s="192">
        <v>12</v>
      </c>
      <c r="B15" s="192" t="s">
        <v>53</v>
      </c>
      <c r="C15">
        <v>50.56</v>
      </c>
      <c r="D15">
        <v>183.99</v>
      </c>
      <c r="E15">
        <f t="shared" si="0"/>
        <v>234.55</v>
      </c>
      <c r="F15">
        <v>3440.53</v>
      </c>
      <c r="I15" t="s">
        <v>12</v>
      </c>
      <c r="J15">
        <v>153.85</v>
      </c>
    </row>
    <row r="16" spans="1:10" ht="12.75">
      <c r="A16" s="192">
        <v>13</v>
      </c>
      <c r="B16" s="192" t="s">
        <v>54</v>
      </c>
      <c r="C16">
        <v>72.3</v>
      </c>
      <c r="D16">
        <v>96.67</v>
      </c>
      <c r="E16">
        <f t="shared" si="0"/>
        <v>168.97</v>
      </c>
      <c r="F16">
        <v>1969.5</v>
      </c>
      <c r="I16" t="s">
        <v>13</v>
      </c>
      <c r="J16">
        <v>177.41</v>
      </c>
    </row>
    <row r="17" spans="1:10" ht="12.75">
      <c r="A17" s="376" t="s">
        <v>47</v>
      </c>
      <c r="B17" s="376"/>
      <c r="C17" s="377">
        <f>SUM(C10:C16)</f>
        <v>394.51000000000005</v>
      </c>
      <c r="D17" s="377">
        <f>SUM(D10:D16)</f>
        <v>665.1</v>
      </c>
      <c r="E17" s="377">
        <f>SUM(E10:E16)</f>
        <v>1059.61</v>
      </c>
      <c r="F17" s="377">
        <f>SUM(F10:F16)</f>
        <v>11331.84</v>
      </c>
      <c r="I17" t="s">
        <v>14</v>
      </c>
      <c r="J17">
        <v>246.33</v>
      </c>
    </row>
    <row r="18" spans="1:10" ht="12.75">
      <c r="A18" s="192">
        <v>14</v>
      </c>
      <c r="B18" s="192" t="s">
        <v>1</v>
      </c>
      <c r="C18">
        <v>103.14</v>
      </c>
      <c r="D18">
        <v>303.26</v>
      </c>
      <c r="E18">
        <f t="shared" si="0"/>
        <v>406.4</v>
      </c>
      <c r="F18">
        <v>3533.19</v>
      </c>
      <c r="I18" t="s">
        <v>15</v>
      </c>
      <c r="J18">
        <v>294.89</v>
      </c>
    </row>
    <row r="19" spans="1:10" ht="12.75">
      <c r="A19" s="192">
        <v>15</v>
      </c>
      <c r="B19" s="192" t="s">
        <v>8</v>
      </c>
      <c r="C19">
        <v>129.49</v>
      </c>
      <c r="D19">
        <v>173.18</v>
      </c>
      <c r="E19">
        <f t="shared" si="0"/>
        <v>302.67</v>
      </c>
      <c r="F19">
        <v>3432.36</v>
      </c>
      <c r="I19" t="s">
        <v>79</v>
      </c>
      <c r="J19">
        <v>232.36</v>
      </c>
    </row>
    <row r="20" spans="1:10" ht="12.75">
      <c r="A20" s="192">
        <v>16</v>
      </c>
      <c r="B20" s="192" t="s">
        <v>9</v>
      </c>
      <c r="C20">
        <v>149.05</v>
      </c>
      <c r="D20">
        <v>271.25</v>
      </c>
      <c r="E20">
        <f t="shared" si="0"/>
        <v>420.3</v>
      </c>
      <c r="F20">
        <v>2102.81</v>
      </c>
      <c r="I20" t="s">
        <v>80</v>
      </c>
      <c r="J20">
        <v>166.03</v>
      </c>
    </row>
    <row r="21" spans="1:10" ht="12.75">
      <c r="A21" s="192">
        <v>17</v>
      </c>
      <c r="B21" s="192" t="s">
        <v>15</v>
      </c>
      <c r="C21">
        <v>94.97</v>
      </c>
      <c r="D21">
        <v>190.19</v>
      </c>
      <c r="E21">
        <f t="shared" si="0"/>
        <v>285.15999999999997</v>
      </c>
      <c r="F21">
        <v>3440.53</v>
      </c>
      <c r="I21" t="s">
        <v>16</v>
      </c>
      <c r="J21">
        <v>100</v>
      </c>
    </row>
    <row r="22" spans="1:10" ht="12.75">
      <c r="A22" s="192">
        <v>18</v>
      </c>
      <c r="B22" s="192" t="s">
        <v>18</v>
      </c>
      <c r="C22">
        <v>62.9</v>
      </c>
      <c r="D22">
        <v>44.93</v>
      </c>
      <c r="E22">
        <f t="shared" si="0"/>
        <v>107.83</v>
      </c>
      <c r="F22">
        <v>536.92</v>
      </c>
      <c r="I22" t="s">
        <v>17</v>
      </c>
      <c r="J22">
        <v>91.31</v>
      </c>
    </row>
    <row r="23" spans="1:10" ht="18.75" customHeight="1">
      <c r="A23" s="378" t="s">
        <v>48</v>
      </c>
      <c r="B23" s="378"/>
      <c r="C23" s="379">
        <f>SUM(C18:C22)</f>
        <v>539.55</v>
      </c>
      <c r="D23" s="379">
        <f>SUM(D18:D22)</f>
        <v>982.8100000000001</v>
      </c>
      <c r="E23" s="379">
        <f>SUM(E18:E22)</f>
        <v>1522.3599999999997</v>
      </c>
      <c r="F23" s="379">
        <f>SUM(F18:F22)</f>
        <v>13045.810000000001</v>
      </c>
      <c r="I23" t="s">
        <v>18</v>
      </c>
      <c r="J23">
        <v>133.81</v>
      </c>
    </row>
    <row r="24" spans="1:6" ht="12.75">
      <c r="A24" s="192">
        <v>20</v>
      </c>
      <c r="B24" s="192" t="s">
        <v>4</v>
      </c>
      <c r="C24">
        <v>89.79</v>
      </c>
      <c r="D24">
        <v>92.49</v>
      </c>
      <c r="E24">
        <f t="shared" si="0"/>
        <v>182.28</v>
      </c>
      <c r="F24">
        <v>2598.05</v>
      </c>
    </row>
    <row r="25" spans="1:6" ht="12.75">
      <c r="A25" s="192">
        <v>19</v>
      </c>
      <c r="B25" s="192" t="s">
        <v>10</v>
      </c>
      <c r="C25">
        <v>76.73</v>
      </c>
      <c r="D25">
        <v>120.74</v>
      </c>
      <c r="E25">
        <f t="shared" si="0"/>
        <v>197.47</v>
      </c>
      <c r="F25">
        <v>2182.18</v>
      </c>
    </row>
    <row r="26" spans="1:6" ht="12.75">
      <c r="A26" s="192">
        <v>21</v>
      </c>
      <c r="B26" s="192" t="s">
        <v>11</v>
      </c>
      <c r="C26">
        <v>221.26</v>
      </c>
      <c r="D26">
        <v>123.64</v>
      </c>
      <c r="E26">
        <f t="shared" si="0"/>
        <v>344.9</v>
      </c>
      <c r="F26">
        <v>3795.42</v>
      </c>
    </row>
    <row r="27" spans="1:6" ht="17.25" customHeight="1">
      <c r="A27" s="378" t="s">
        <v>49</v>
      </c>
      <c r="B27" s="378"/>
      <c r="C27" s="379">
        <f>SUM(C24:C26)</f>
        <v>387.78</v>
      </c>
      <c r="D27" s="379">
        <f>SUM(D24:D26)</f>
        <v>336.87</v>
      </c>
      <c r="E27" s="379">
        <f>SUM(E24:E26)</f>
        <v>724.65</v>
      </c>
      <c r="F27" s="379">
        <f>SUM(F24:F26)</f>
        <v>8575.65</v>
      </c>
    </row>
    <row r="28" spans="1:6" ht="12.75">
      <c r="A28" s="385"/>
      <c r="B28" s="385" t="s">
        <v>0</v>
      </c>
      <c r="C28" s="383">
        <f>C9+C17+C23+C27</f>
        <v>1535.07</v>
      </c>
      <c r="D28" s="383">
        <f>D9+D17+D23+D27</f>
        <v>2369.08</v>
      </c>
      <c r="E28" s="383">
        <f>E9+E17+E23+E27</f>
        <v>3904.1499999999996</v>
      </c>
      <c r="F28" s="383">
        <f>F9+F17+F23+F27</f>
        <v>39820.58</v>
      </c>
    </row>
    <row r="29" spans="1:6" ht="12.75">
      <c r="A29" s="192">
        <v>22</v>
      </c>
      <c r="B29" s="192" t="s">
        <v>19</v>
      </c>
      <c r="E29">
        <v>1735.77</v>
      </c>
      <c r="F29">
        <v>9279.45</v>
      </c>
    </row>
    <row r="30" spans="1:6" ht="12.75">
      <c r="A30" s="192">
        <v>23</v>
      </c>
      <c r="B30" s="192" t="s">
        <v>20</v>
      </c>
      <c r="E30">
        <v>252.97</v>
      </c>
      <c r="F30">
        <v>3594.54</v>
      </c>
    </row>
    <row r="31" spans="2:6" ht="12.75">
      <c r="B31" s="375" t="s">
        <v>21</v>
      </c>
      <c r="E31">
        <v>1219.84</v>
      </c>
      <c r="F31">
        <v>2870.74</v>
      </c>
    </row>
    <row r="32" spans="2:6" ht="12.75">
      <c r="B32" s="375" t="s">
        <v>23</v>
      </c>
      <c r="E32">
        <v>6.71</v>
      </c>
      <c r="F32">
        <v>88.21</v>
      </c>
    </row>
    <row r="33" spans="1:6" ht="12.75">
      <c r="A33" s="383"/>
      <c r="B33" s="384" t="s">
        <v>163</v>
      </c>
      <c r="C33" s="383"/>
      <c r="D33" s="383"/>
      <c r="E33" s="383">
        <f>SUM(E29:E32)</f>
        <v>3215.29</v>
      </c>
      <c r="F33" s="383">
        <f>SUM(F29:F32)</f>
        <v>15832.94</v>
      </c>
    </row>
  </sheetData>
  <sheetProtection/>
  <mergeCells count="3">
    <mergeCell ref="C1:E1"/>
    <mergeCell ref="F1:F2"/>
    <mergeCell ref="A1:A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73"/>
  <sheetViews>
    <sheetView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4" sqref="F4"/>
    </sheetView>
  </sheetViews>
  <sheetFormatPr defaultColWidth="9.140625" defaultRowHeight="12.75"/>
  <cols>
    <col min="1" max="1" width="7.00390625" style="3" bestFit="1" customWidth="1"/>
    <col min="2" max="2" width="16.140625" style="3" bestFit="1" customWidth="1"/>
    <col min="3" max="3" width="11.28125" style="235" customWidth="1"/>
    <col min="4" max="4" width="8.421875" style="235" customWidth="1"/>
    <col min="5" max="5" width="11.7109375" style="235" customWidth="1"/>
    <col min="6" max="6" width="10.421875" style="235" customWidth="1"/>
    <col min="7" max="7" width="10.7109375" style="235" customWidth="1"/>
    <col min="8" max="8" width="9.57421875" style="235" customWidth="1"/>
    <col min="9" max="9" width="8.140625" style="235" customWidth="1"/>
    <col min="10" max="10" width="8.28125" style="235" customWidth="1"/>
    <col min="11" max="11" width="8.421875" style="235" hidden="1" customWidth="1"/>
    <col min="12" max="12" width="8.421875" style="235" customWidth="1"/>
    <col min="13" max="13" width="8.7109375" style="235" customWidth="1"/>
    <col min="14" max="14" width="7.28125" style="235" customWidth="1"/>
    <col min="15" max="15" width="10.00390625" style="235" customWidth="1"/>
    <col min="16" max="16" width="7.00390625" style="235" customWidth="1"/>
    <col min="17" max="17" width="8.421875" style="235" customWidth="1"/>
    <col min="18" max="18" width="8.140625" style="235" bestFit="1" customWidth="1"/>
    <col min="19" max="19" width="9.8515625" style="235" customWidth="1"/>
    <col min="20" max="20" width="7.7109375" style="261" customWidth="1"/>
    <col min="21" max="21" width="8.421875" style="235" customWidth="1"/>
    <col min="22" max="22" width="9.57421875" style="235" customWidth="1"/>
    <col min="23" max="23" width="6.00390625" style="235" customWidth="1"/>
    <col min="24" max="24" width="9.57421875" style="235" customWidth="1"/>
    <col min="25" max="25" width="8.28125" style="235" customWidth="1"/>
    <col min="26" max="26" width="9.140625" style="235" customWidth="1"/>
    <col min="27" max="27" width="6.8515625" style="235" customWidth="1"/>
    <col min="28" max="28" width="8.140625" style="235" customWidth="1"/>
    <col min="29" max="29" width="7.7109375" style="235" customWidth="1"/>
    <col min="30" max="30" width="8.140625" style="235" customWidth="1"/>
    <col min="31" max="31" width="8.28125" style="235" customWidth="1"/>
    <col min="32" max="32" width="9.140625" style="235" customWidth="1"/>
    <col min="33" max="33" width="9.00390625" style="235" customWidth="1"/>
    <col min="34" max="34" width="6.00390625" style="235" customWidth="1"/>
    <col min="35" max="35" width="10.7109375" style="235" customWidth="1"/>
    <col min="36" max="36" width="7.7109375" style="235" customWidth="1"/>
    <col min="37" max="37" width="8.140625" style="235" customWidth="1"/>
    <col min="38" max="38" width="6.421875" style="235" customWidth="1"/>
    <col min="39" max="39" width="7.421875" style="235" customWidth="1"/>
    <col min="40" max="40" width="13.57421875" style="235" customWidth="1"/>
    <col min="41" max="42" width="9.8515625" style="235" customWidth="1"/>
    <col min="43" max="43" width="9.57421875" style="235" customWidth="1"/>
    <col min="44" max="45" width="8.28125" style="3" customWidth="1"/>
    <col min="46" max="46" width="8.421875" style="3" customWidth="1"/>
    <col min="47" max="47" width="21.57421875" style="3" customWidth="1"/>
    <col min="48" max="48" width="12.7109375" style="3" customWidth="1"/>
    <col min="49" max="49" width="17.28125" style="3" customWidth="1"/>
    <col min="50" max="50" width="16.7109375" style="3" customWidth="1"/>
    <col min="51" max="16384" width="9.140625" style="3" customWidth="1"/>
  </cols>
  <sheetData>
    <row r="1" spans="15:42" ht="15">
      <c r="O1" s="236" t="s">
        <v>82</v>
      </c>
      <c r="P1" s="236"/>
      <c r="AO1" s="236" t="s">
        <v>83</v>
      </c>
      <c r="AP1" s="236"/>
    </row>
    <row r="2" spans="2:56" ht="43.5" customHeight="1">
      <c r="B2" s="219"/>
      <c r="C2" s="477" t="s">
        <v>154</v>
      </c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T2" s="270"/>
      <c r="V2" s="478" t="str">
        <f>C2</f>
        <v>Sub: License area wise %age Gross Revenue Share of BSNL (Gross Revenue in Rs. Crore) for the quarter ending September  2014 of F. Y. 2014-15</v>
      </c>
      <c r="W2" s="478"/>
      <c r="X2" s="478"/>
      <c r="Y2" s="478"/>
      <c r="Z2" s="478"/>
      <c r="AA2" s="478"/>
      <c r="AB2" s="478"/>
      <c r="AC2" s="478"/>
      <c r="AD2" s="478"/>
      <c r="AE2" s="478"/>
      <c r="AF2" s="478"/>
      <c r="AG2" s="478"/>
      <c r="AH2" s="478"/>
      <c r="AI2" s="478"/>
      <c r="AJ2" s="478"/>
      <c r="AK2" s="478"/>
      <c r="AL2" s="478"/>
      <c r="AM2" s="478"/>
      <c r="AN2" s="478"/>
      <c r="AO2" s="478"/>
      <c r="AP2" s="478"/>
      <c r="AQ2" s="478"/>
      <c r="AR2" s="219"/>
      <c r="AS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</row>
    <row r="3" spans="3:50" ht="15.75" customHeight="1">
      <c r="C3" s="237">
        <v>1</v>
      </c>
      <c r="D3" s="237">
        <v>2</v>
      </c>
      <c r="E3" s="237">
        <v>3</v>
      </c>
      <c r="F3" s="237">
        <v>4</v>
      </c>
      <c r="G3" s="237">
        <v>5</v>
      </c>
      <c r="H3" s="237">
        <v>6</v>
      </c>
      <c r="I3" s="237">
        <v>7</v>
      </c>
      <c r="J3" s="237">
        <v>8</v>
      </c>
      <c r="K3" s="237"/>
      <c r="L3" s="237">
        <v>9</v>
      </c>
      <c r="M3" s="237">
        <v>10</v>
      </c>
      <c r="N3" s="237">
        <v>11</v>
      </c>
      <c r="O3" s="237">
        <v>12</v>
      </c>
      <c r="P3" s="237">
        <v>13</v>
      </c>
      <c r="Q3" s="237">
        <v>14</v>
      </c>
      <c r="R3" s="237">
        <v>15</v>
      </c>
      <c r="S3" s="237">
        <v>16</v>
      </c>
      <c r="T3" s="237">
        <v>17</v>
      </c>
      <c r="U3" s="237">
        <v>18</v>
      </c>
      <c r="V3" s="237">
        <v>19</v>
      </c>
      <c r="W3" s="237">
        <v>20</v>
      </c>
      <c r="X3" s="237">
        <v>21</v>
      </c>
      <c r="Y3" s="237">
        <v>22</v>
      </c>
      <c r="Z3" s="237">
        <v>23</v>
      </c>
      <c r="AA3" s="237">
        <v>24</v>
      </c>
      <c r="AB3" s="237">
        <v>25</v>
      </c>
      <c r="AC3" s="237">
        <v>26</v>
      </c>
      <c r="AD3" s="238">
        <v>27</v>
      </c>
      <c r="AE3" s="238">
        <v>28</v>
      </c>
      <c r="AF3" s="238">
        <v>29</v>
      </c>
      <c r="AG3" s="238">
        <v>30</v>
      </c>
      <c r="AH3" s="238">
        <v>31</v>
      </c>
      <c r="AI3" s="238">
        <v>32</v>
      </c>
      <c r="AJ3" s="238">
        <v>33</v>
      </c>
      <c r="AK3" s="238">
        <v>34</v>
      </c>
      <c r="AL3" s="238">
        <v>35</v>
      </c>
      <c r="AM3" s="238">
        <v>36</v>
      </c>
      <c r="AN3" s="238">
        <v>37</v>
      </c>
      <c r="AO3" s="238"/>
      <c r="AP3" s="238"/>
      <c r="AQ3" s="238"/>
      <c r="AR3" s="220"/>
      <c r="AS3" s="220"/>
      <c r="AV3" s="479" t="s">
        <v>24</v>
      </c>
      <c r="AW3" s="479"/>
      <c r="AX3" s="479"/>
    </row>
    <row r="4" spans="1:56" ht="82.5" customHeight="1">
      <c r="A4" s="221" t="s">
        <v>74</v>
      </c>
      <c r="B4" s="221" t="s">
        <v>84</v>
      </c>
      <c r="C4" s="239" t="s">
        <v>24</v>
      </c>
      <c r="D4" s="240" t="s">
        <v>85</v>
      </c>
      <c r="E4" s="239" t="s">
        <v>22</v>
      </c>
      <c r="F4" s="239" t="s">
        <v>86</v>
      </c>
      <c r="G4" s="239" t="s">
        <v>87</v>
      </c>
      <c r="H4" s="239" t="s">
        <v>88</v>
      </c>
      <c r="I4" s="239" t="s">
        <v>25</v>
      </c>
      <c r="J4" s="239" t="s">
        <v>89</v>
      </c>
      <c r="K4" s="240" t="s">
        <v>26</v>
      </c>
      <c r="L4" s="240" t="s">
        <v>90</v>
      </c>
      <c r="M4" s="240" t="s">
        <v>91</v>
      </c>
      <c r="N4" s="240" t="s">
        <v>92</v>
      </c>
      <c r="O4" s="240" t="s">
        <v>93</v>
      </c>
      <c r="P4" s="240" t="s">
        <v>94</v>
      </c>
      <c r="Q4" s="241" t="s">
        <v>95</v>
      </c>
      <c r="R4" s="240" t="s">
        <v>96</v>
      </c>
      <c r="S4" s="240" t="s">
        <v>97</v>
      </c>
      <c r="T4" s="239" t="s">
        <v>98</v>
      </c>
      <c r="U4" s="239" t="s">
        <v>99</v>
      </c>
      <c r="V4" s="241" t="s">
        <v>126</v>
      </c>
      <c r="W4" s="241" t="s">
        <v>101</v>
      </c>
      <c r="X4" s="241" t="s">
        <v>102</v>
      </c>
      <c r="Y4" s="241" t="s">
        <v>103</v>
      </c>
      <c r="Z4" s="241" t="s">
        <v>143</v>
      </c>
      <c r="AA4" s="241" t="s">
        <v>105</v>
      </c>
      <c r="AB4" s="241" t="s">
        <v>106</v>
      </c>
      <c r="AC4" s="241" t="s">
        <v>107</v>
      </c>
      <c r="AD4" s="241" t="s">
        <v>108</v>
      </c>
      <c r="AE4" s="241" t="s">
        <v>109</v>
      </c>
      <c r="AF4" s="241" t="s">
        <v>110</v>
      </c>
      <c r="AG4" s="241" t="s">
        <v>111</v>
      </c>
      <c r="AH4" s="241" t="s">
        <v>112</v>
      </c>
      <c r="AI4" s="241" t="s">
        <v>113</v>
      </c>
      <c r="AJ4" s="241" t="s">
        <v>114</v>
      </c>
      <c r="AK4" s="241" t="s">
        <v>115</v>
      </c>
      <c r="AL4" s="241" t="s">
        <v>116</v>
      </c>
      <c r="AM4" s="241" t="s">
        <v>117</v>
      </c>
      <c r="AN4" s="335" t="s">
        <v>155</v>
      </c>
      <c r="AO4" s="239" t="s">
        <v>118</v>
      </c>
      <c r="AP4" s="239" t="s">
        <v>27</v>
      </c>
      <c r="AQ4" s="239" t="s">
        <v>119</v>
      </c>
      <c r="AR4" s="222"/>
      <c r="AS4" s="222"/>
      <c r="AT4" s="221" t="s">
        <v>74</v>
      </c>
      <c r="AU4" s="221" t="s">
        <v>84</v>
      </c>
      <c r="AV4" s="223" t="s">
        <v>70</v>
      </c>
      <c r="AW4" s="224" t="s">
        <v>71</v>
      </c>
      <c r="AX4" s="225" t="s">
        <v>0</v>
      </c>
      <c r="AY4" s="16"/>
      <c r="AZ4" s="16"/>
      <c r="BA4" s="16"/>
      <c r="BB4" s="16"/>
      <c r="BC4" s="16"/>
      <c r="BD4" s="16"/>
    </row>
    <row r="5" spans="1:50" ht="18" customHeight="1">
      <c r="A5" s="1">
        <v>1</v>
      </c>
      <c r="B5" s="2" t="s">
        <v>1</v>
      </c>
      <c r="C5" s="242">
        <f>AX5</f>
        <v>406.4</v>
      </c>
      <c r="D5" s="243"/>
      <c r="E5" s="242">
        <v>1346.38</v>
      </c>
      <c r="F5" s="242">
        <v>154.3</v>
      </c>
      <c r="G5" s="242">
        <v>372.61</v>
      </c>
      <c r="H5" s="242">
        <v>315.9</v>
      </c>
      <c r="I5" s="242">
        <v>734.4</v>
      </c>
      <c r="J5" s="244">
        <v>74.74</v>
      </c>
      <c r="K5" s="245">
        <f>L5+M5+N5+O5+P5+Q5+R5+S5+T5+U5+V5+W5+X5+Y5+Z5+AA5+AB5+AC5+AD5+AE5+AF5+AG5+AH5+AI5+AJ5+AK5</f>
        <v>128.46</v>
      </c>
      <c r="L5" s="244">
        <v>128.46</v>
      </c>
      <c r="M5" s="244"/>
      <c r="N5" s="245"/>
      <c r="O5" s="245"/>
      <c r="P5" s="245"/>
      <c r="Q5" s="245"/>
      <c r="R5" s="245"/>
      <c r="S5" s="244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4">
        <f aca="true" t="shared" si="0" ref="AO5:AO25">E5+F5+G5+H5+I5+J5+K5</f>
        <v>3126.79</v>
      </c>
      <c r="AP5" s="244">
        <f>AO5+D5+C5</f>
        <v>3533.19</v>
      </c>
      <c r="AQ5" s="244">
        <f aca="true" t="shared" si="1" ref="AQ5:AQ33">C5/AP5*100</f>
        <v>11.502353397354797</v>
      </c>
      <c r="AR5" s="226"/>
      <c r="AS5" s="226"/>
      <c r="AT5" s="1">
        <v>1</v>
      </c>
      <c r="AU5" s="2" t="s">
        <v>1</v>
      </c>
      <c r="AV5" s="4">
        <v>103.14</v>
      </c>
      <c r="AW5" s="4">
        <v>303.26</v>
      </c>
      <c r="AX5" s="4">
        <f>SUM(AV5:AW5)</f>
        <v>406.4</v>
      </c>
    </row>
    <row r="6" spans="1:50" ht="18" customHeight="1">
      <c r="A6" s="1">
        <v>2</v>
      </c>
      <c r="B6" s="2" t="s">
        <v>2</v>
      </c>
      <c r="C6" s="242">
        <f aca="true" t="shared" si="2" ref="C6:C19">AX6</f>
        <v>75.51</v>
      </c>
      <c r="D6" s="243"/>
      <c r="E6" s="242">
        <v>268.4</v>
      </c>
      <c r="F6" s="246">
        <v>93.12</v>
      </c>
      <c r="G6" s="242">
        <v>146.37</v>
      </c>
      <c r="H6" s="242">
        <v>0</v>
      </c>
      <c r="I6" s="242">
        <v>27.75</v>
      </c>
      <c r="J6" s="244"/>
      <c r="K6" s="245">
        <f aca="true" t="shared" si="3" ref="K6:K29">L6+M6+N6+O6+P6+Q6+R6+S6+T6+U6+V6+W6+X6+Y6+Z6+AA6+AB6+AC6+AD6+AE6+AF6+AG6+AH6+AI6+AJ6+AK6</f>
        <v>0</v>
      </c>
      <c r="L6" s="244"/>
      <c r="M6" s="244"/>
      <c r="N6" s="245"/>
      <c r="O6" s="245"/>
      <c r="P6" s="245"/>
      <c r="Q6" s="245"/>
      <c r="R6" s="245"/>
      <c r="S6" s="244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4">
        <f t="shared" si="0"/>
        <v>535.64</v>
      </c>
      <c r="AP6" s="244">
        <f aca="true" t="shared" si="4" ref="AP6:AP29">AO6+D6+C6</f>
        <v>611.15</v>
      </c>
      <c r="AQ6" s="244">
        <f t="shared" si="1"/>
        <v>12.355395565736726</v>
      </c>
      <c r="AR6" s="226"/>
      <c r="AS6" s="226"/>
      <c r="AT6" s="1">
        <v>2</v>
      </c>
      <c r="AU6" s="2" t="s">
        <v>2</v>
      </c>
      <c r="AV6" s="4">
        <v>15.55</v>
      </c>
      <c r="AW6" s="4">
        <v>59.96</v>
      </c>
      <c r="AX6" s="4">
        <f aca="true" t="shared" si="5" ref="AX6:AX25">SUM(AV6:AW6)</f>
        <v>75.51</v>
      </c>
    </row>
    <row r="7" spans="1:50" ht="18" customHeight="1">
      <c r="A7" s="1">
        <v>3</v>
      </c>
      <c r="B7" s="2" t="s">
        <v>3</v>
      </c>
      <c r="C7" s="242">
        <f t="shared" si="2"/>
        <v>128.99</v>
      </c>
      <c r="D7" s="243"/>
      <c r="E7" s="242">
        <v>1044.7</v>
      </c>
      <c r="F7" s="242">
        <f>72.14+162.28</f>
        <v>234.42000000000002</v>
      </c>
      <c r="G7" s="242">
        <v>281.09</v>
      </c>
      <c r="H7" s="242">
        <v>79.97</v>
      </c>
      <c r="I7" s="242">
        <v>261.27</v>
      </c>
      <c r="J7" s="244"/>
      <c r="K7" s="245">
        <f>L7+M7+N7+O7+P7+Q7+R7+S7+T7+U7+V7+W7+X7+Y7+Z7+AA7+AB7+AC7+AD7+AE7+AF7+AG7+AH7+AI7+AJ7+AK7</f>
        <v>152.17069999999998</v>
      </c>
      <c r="L7" s="244">
        <v>152.17</v>
      </c>
      <c r="M7" s="244"/>
      <c r="N7" s="245"/>
      <c r="O7" s="245"/>
      <c r="P7" s="245"/>
      <c r="Q7" s="245"/>
      <c r="R7" s="245"/>
      <c r="S7" s="244">
        <v>0.0007</v>
      </c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5"/>
      <c r="AO7" s="244">
        <f t="shared" si="0"/>
        <v>2053.6207</v>
      </c>
      <c r="AP7" s="244">
        <f t="shared" si="4"/>
        <v>2182.6107</v>
      </c>
      <c r="AQ7" s="244">
        <f t="shared" si="1"/>
        <v>5.909894971192068</v>
      </c>
      <c r="AR7" s="226"/>
      <c r="AS7" s="226"/>
      <c r="AT7" s="1">
        <v>3</v>
      </c>
      <c r="AU7" s="2" t="s">
        <v>3</v>
      </c>
      <c r="AV7" s="4">
        <v>56.88</v>
      </c>
      <c r="AW7" s="4">
        <v>72.11</v>
      </c>
      <c r="AX7" s="4">
        <f t="shared" si="5"/>
        <v>128.99</v>
      </c>
    </row>
    <row r="8" spans="1:50" ht="18" customHeight="1">
      <c r="A8" s="1">
        <v>4</v>
      </c>
      <c r="B8" s="2" t="s">
        <v>4</v>
      </c>
      <c r="C8" s="242">
        <f t="shared" si="2"/>
        <v>182.28</v>
      </c>
      <c r="D8" s="243"/>
      <c r="E8" s="242">
        <v>400.87</v>
      </c>
      <c r="F8" s="242">
        <v>126.68</v>
      </c>
      <c r="G8" s="242">
        <v>967.51</v>
      </c>
      <c r="H8" s="242">
        <v>170.04</v>
      </c>
      <c r="I8" s="242">
        <v>522.08</v>
      </c>
      <c r="J8" s="244">
        <v>11.08</v>
      </c>
      <c r="K8" s="245">
        <f>L8+M8+N8+O8+P8+Q8+R8+S8+T8+U8+V8+W8+X8+Y8+Z8+AA8+AB8+AC8+AD8+AE8+AF8+AG8+AH8+AI8+AJ8+AK8</f>
        <v>217.51</v>
      </c>
      <c r="L8" s="244">
        <v>163.92</v>
      </c>
      <c r="M8" s="244">
        <v>12.84</v>
      </c>
      <c r="N8" s="245"/>
      <c r="O8" s="245"/>
      <c r="P8" s="245"/>
      <c r="Q8" s="245"/>
      <c r="R8" s="245"/>
      <c r="S8" s="244">
        <v>40.75</v>
      </c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4">
        <f t="shared" si="0"/>
        <v>2415.7699999999995</v>
      </c>
      <c r="AP8" s="244">
        <f t="shared" si="4"/>
        <v>2598.0499999999997</v>
      </c>
      <c r="AQ8" s="244">
        <f t="shared" si="1"/>
        <v>7.0160312542098895</v>
      </c>
      <c r="AR8" s="226"/>
      <c r="AS8" s="226"/>
      <c r="AT8" s="1">
        <v>4</v>
      </c>
      <c r="AU8" s="2" t="s">
        <v>4</v>
      </c>
      <c r="AV8" s="4">
        <v>89.79</v>
      </c>
      <c r="AW8" s="4">
        <v>92.49</v>
      </c>
      <c r="AX8" s="4">
        <f t="shared" si="5"/>
        <v>182.28</v>
      </c>
    </row>
    <row r="9" spans="1:50" ht="18" customHeight="1">
      <c r="A9" s="1">
        <v>5</v>
      </c>
      <c r="B9" s="2" t="s">
        <v>5</v>
      </c>
      <c r="C9" s="242">
        <f t="shared" si="2"/>
        <v>122.48</v>
      </c>
      <c r="D9" s="243"/>
      <c r="E9" s="242">
        <v>150.41</v>
      </c>
      <c r="F9" s="242">
        <v>32.32</v>
      </c>
      <c r="G9" s="242">
        <v>279.74</v>
      </c>
      <c r="H9" s="242">
        <v>116.74</v>
      </c>
      <c r="I9" s="242">
        <v>257.32</v>
      </c>
      <c r="J9" s="244">
        <v>0.312</v>
      </c>
      <c r="K9" s="245">
        <f t="shared" si="3"/>
        <v>36.31</v>
      </c>
      <c r="L9" s="244"/>
      <c r="M9" s="244"/>
      <c r="N9" s="245"/>
      <c r="O9" s="245"/>
      <c r="P9" s="245"/>
      <c r="Q9" s="245"/>
      <c r="R9" s="245"/>
      <c r="S9" s="244">
        <v>36.31</v>
      </c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4">
        <f t="shared" si="0"/>
        <v>873.152</v>
      </c>
      <c r="AP9" s="244">
        <f t="shared" si="4"/>
        <v>995.6320000000001</v>
      </c>
      <c r="AQ9" s="244">
        <f t="shared" si="1"/>
        <v>12.301733973998424</v>
      </c>
      <c r="AR9" s="226"/>
      <c r="AS9" s="226"/>
      <c r="AT9" s="1">
        <v>5</v>
      </c>
      <c r="AU9" s="2" t="s">
        <v>5</v>
      </c>
      <c r="AV9" s="4">
        <v>48.56</v>
      </c>
      <c r="AW9" s="4">
        <v>73.92</v>
      </c>
      <c r="AX9" s="4">
        <f t="shared" si="5"/>
        <v>122.48</v>
      </c>
    </row>
    <row r="10" spans="1:50" ht="18" customHeight="1">
      <c r="A10" s="1">
        <v>6</v>
      </c>
      <c r="B10" s="2" t="s">
        <v>6</v>
      </c>
      <c r="C10" s="242">
        <f t="shared" si="2"/>
        <v>64.99</v>
      </c>
      <c r="D10" s="243"/>
      <c r="E10" s="242">
        <v>146.04</v>
      </c>
      <c r="F10" s="242">
        <f>4.48+43.26</f>
        <v>47.739999999999995</v>
      </c>
      <c r="G10" s="242">
        <v>32.05</v>
      </c>
      <c r="H10" s="242">
        <v>7.58</v>
      </c>
      <c r="I10" s="242">
        <v>39.11</v>
      </c>
      <c r="J10" s="244">
        <v>23.87</v>
      </c>
      <c r="K10" s="245">
        <f t="shared" si="3"/>
        <v>0</v>
      </c>
      <c r="L10" s="244"/>
      <c r="M10" s="244"/>
      <c r="N10" s="245"/>
      <c r="O10" s="245"/>
      <c r="P10" s="245"/>
      <c r="Q10" s="245"/>
      <c r="R10" s="245"/>
      <c r="S10" s="244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4">
        <f t="shared" si="0"/>
        <v>296.39</v>
      </c>
      <c r="AP10" s="244">
        <f t="shared" si="4"/>
        <v>361.38</v>
      </c>
      <c r="AQ10" s="244">
        <f t="shared" si="1"/>
        <v>17.983839725496704</v>
      </c>
      <c r="AR10" s="226"/>
      <c r="AS10" s="226"/>
      <c r="AT10" s="1">
        <v>6</v>
      </c>
      <c r="AU10" s="2" t="s">
        <v>6</v>
      </c>
      <c r="AV10" s="4">
        <v>21.98</v>
      </c>
      <c r="AW10" s="4">
        <v>43.01</v>
      </c>
      <c r="AX10" s="4">
        <f t="shared" si="5"/>
        <v>64.99</v>
      </c>
    </row>
    <row r="11" spans="1:50" ht="18" customHeight="1">
      <c r="A11" s="1">
        <v>7</v>
      </c>
      <c r="B11" s="2" t="s">
        <v>7</v>
      </c>
      <c r="C11" s="242">
        <f t="shared" si="2"/>
        <v>68.39</v>
      </c>
      <c r="D11" s="243"/>
      <c r="E11" s="242">
        <v>198.52</v>
      </c>
      <c r="F11" s="242">
        <v>27.97</v>
      </c>
      <c r="G11" s="242">
        <v>47.97</v>
      </c>
      <c r="H11" s="242">
        <v>0</v>
      </c>
      <c r="I11" s="242">
        <v>25.02</v>
      </c>
      <c r="J11" s="244">
        <v>131.23</v>
      </c>
      <c r="K11" s="245">
        <f t="shared" si="3"/>
        <v>0</v>
      </c>
      <c r="L11" s="244"/>
      <c r="M11" s="244"/>
      <c r="N11" s="245"/>
      <c r="O11" s="245"/>
      <c r="P11" s="245"/>
      <c r="Q11" s="245"/>
      <c r="R11" s="245"/>
      <c r="S11" s="244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4">
        <f t="shared" si="0"/>
        <v>430.71000000000004</v>
      </c>
      <c r="AP11" s="244">
        <f t="shared" si="4"/>
        <v>499.1</v>
      </c>
      <c r="AQ11" s="244">
        <f t="shared" si="1"/>
        <v>13.70266479663394</v>
      </c>
      <c r="AR11" s="226"/>
      <c r="AS11" s="226"/>
      <c r="AT11" s="1">
        <v>7</v>
      </c>
      <c r="AU11" s="2" t="s">
        <v>7</v>
      </c>
      <c r="AV11" s="4">
        <v>15.89</v>
      </c>
      <c r="AW11" s="4">
        <v>52.5</v>
      </c>
      <c r="AX11" s="4">
        <f t="shared" si="5"/>
        <v>68.39</v>
      </c>
    </row>
    <row r="12" spans="1:50" ht="18" customHeight="1">
      <c r="A12" s="1">
        <v>8</v>
      </c>
      <c r="B12" s="2" t="s">
        <v>8</v>
      </c>
      <c r="C12" s="242">
        <f t="shared" si="2"/>
        <v>302.67</v>
      </c>
      <c r="D12" s="243"/>
      <c r="E12" s="242">
        <v>1515.98</v>
      </c>
      <c r="F12" s="242">
        <v>173.36</v>
      </c>
      <c r="G12" s="242">
        <v>513.83</v>
      </c>
      <c r="H12" s="242">
        <v>407.93</v>
      </c>
      <c r="I12" s="242">
        <v>358.58</v>
      </c>
      <c r="J12" s="244">
        <v>103.21</v>
      </c>
      <c r="K12" s="245">
        <f t="shared" si="3"/>
        <v>56.8</v>
      </c>
      <c r="L12" s="244"/>
      <c r="M12" s="244">
        <v>56.8</v>
      </c>
      <c r="N12" s="245"/>
      <c r="O12" s="245"/>
      <c r="P12" s="245"/>
      <c r="Q12" s="245"/>
      <c r="R12" s="245"/>
      <c r="S12" s="244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4">
        <f t="shared" si="0"/>
        <v>3129.69</v>
      </c>
      <c r="AP12" s="244">
        <f t="shared" si="4"/>
        <v>3432.36</v>
      </c>
      <c r="AQ12" s="244">
        <f t="shared" si="1"/>
        <v>8.818130965283363</v>
      </c>
      <c r="AR12" s="226"/>
      <c r="AS12" s="226"/>
      <c r="AT12" s="1">
        <v>8</v>
      </c>
      <c r="AU12" s="2" t="s">
        <v>8</v>
      </c>
      <c r="AV12" s="4">
        <v>129.49</v>
      </c>
      <c r="AW12" s="4">
        <v>173.18</v>
      </c>
      <c r="AX12" s="4">
        <f t="shared" si="5"/>
        <v>302.67</v>
      </c>
    </row>
    <row r="13" spans="1:50" ht="18" customHeight="1">
      <c r="A13" s="1">
        <v>9</v>
      </c>
      <c r="B13" s="2" t="s">
        <v>9</v>
      </c>
      <c r="C13" s="242">
        <f t="shared" si="2"/>
        <v>420.3</v>
      </c>
      <c r="D13" s="243"/>
      <c r="E13" s="242">
        <v>306.8</v>
      </c>
      <c r="F13" s="242">
        <v>50.09</v>
      </c>
      <c r="G13" s="242">
        <v>467.67</v>
      </c>
      <c r="H13" s="242">
        <v>94.77</v>
      </c>
      <c r="I13" s="242">
        <v>745.77</v>
      </c>
      <c r="J13" s="244">
        <v>0.04</v>
      </c>
      <c r="K13" s="245">
        <f t="shared" si="3"/>
        <v>17.37</v>
      </c>
      <c r="L13" s="244"/>
      <c r="M13" s="244">
        <v>17.37</v>
      </c>
      <c r="N13" s="245"/>
      <c r="O13" s="245"/>
      <c r="P13" s="245"/>
      <c r="Q13" s="245"/>
      <c r="R13" s="245"/>
      <c r="S13" s="244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4">
        <f t="shared" si="0"/>
        <v>1682.5099999999998</v>
      </c>
      <c r="AP13" s="244">
        <f t="shared" si="4"/>
        <v>2102.81</v>
      </c>
      <c r="AQ13" s="244">
        <f t="shared" si="1"/>
        <v>19.987540481546123</v>
      </c>
      <c r="AR13" s="226"/>
      <c r="AS13" s="226"/>
      <c r="AT13" s="1">
        <v>9</v>
      </c>
      <c r="AU13" s="2" t="s">
        <v>9</v>
      </c>
      <c r="AV13" s="4">
        <v>149.05</v>
      </c>
      <c r="AW13" s="4">
        <v>271.25</v>
      </c>
      <c r="AX13" s="4">
        <f t="shared" si="5"/>
        <v>420.3</v>
      </c>
    </row>
    <row r="14" spans="1:50" ht="18" customHeight="1">
      <c r="A14" s="1">
        <v>10</v>
      </c>
      <c r="B14" s="2" t="s">
        <v>10</v>
      </c>
      <c r="C14" s="242">
        <f t="shared" si="2"/>
        <v>197.47</v>
      </c>
      <c r="D14" s="243"/>
      <c r="E14" s="242">
        <v>481.06</v>
      </c>
      <c r="F14" s="242">
        <f>60.17+238.56</f>
        <v>298.73</v>
      </c>
      <c r="G14" s="242">
        <v>207.13</v>
      </c>
      <c r="H14" s="242">
        <v>160.57</v>
      </c>
      <c r="I14" s="242">
        <v>798.84</v>
      </c>
      <c r="J14" s="244">
        <v>0.01</v>
      </c>
      <c r="K14" s="245">
        <f t="shared" si="3"/>
        <v>38.37</v>
      </c>
      <c r="L14" s="244"/>
      <c r="M14" s="244"/>
      <c r="N14" s="245"/>
      <c r="O14" s="245"/>
      <c r="P14" s="245"/>
      <c r="Q14" s="245"/>
      <c r="R14" s="245"/>
      <c r="S14" s="244">
        <v>38.37</v>
      </c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4">
        <f t="shared" si="0"/>
        <v>1984.7099999999998</v>
      </c>
      <c r="AP14" s="244">
        <f t="shared" si="4"/>
        <v>2182.18</v>
      </c>
      <c r="AQ14" s="244">
        <f t="shared" si="1"/>
        <v>9.049207673060884</v>
      </c>
      <c r="AR14" s="226"/>
      <c r="AS14" s="226"/>
      <c r="AT14" s="1">
        <v>10</v>
      </c>
      <c r="AU14" s="2" t="s">
        <v>10</v>
      </c>
      <c r="AV14" s="4">
        <v>76.73</v>
      </c>
      <c r="AW14" s="4">
        <v>120.74</v>
      </c>
      <c r="AX14" s="4">
        <f t="shared" si="5"/>
        <v>197.47</v>
      </c>
    </row>
    <row r="15" spans="1:50" ht="18" customHeight="1">
      <c r="A15" s="1">
        <v>11</v>
      </c>
      <c r="B15" s="2" t="s">
        <v>11</v>
      </c>
      <c r="C15" s="242">
        <f t="shared" si="2"/>
        <v>344.9</v>
      </c>
      <c r="D15" s="243"/>
      <c r="E15" s="242">
        <v>665.29</v>
      </c>
      <c r="F15" s="242">
        <v>149.72</v>
      </c>
      <c r="G15" s="242">
        <v>928.68</v>
      </c>
      <c r="H15" s="242">
        <v>312.33</v>
      </c>
      <c r="I15" s="242">
        <v>1154.5</v>
      </c>
      <c r="J15" s="244">
        <v>45.79</v>
      </c>
      <c r="K15" s="245">
        <f t="shared" si="3"/>
        <v>194.21</v>
      </c>
      <c r="L15" s="244">
        <v>194.21</v>
      </c>
      <c r="M15" s="244"/>
      <c r="N15" s="245"/>
      <c r="O15" s="245"/>
      <c r="P15" s="245"/>
      <c r="Q15" s="245"/>
      <c r="R15" s="245"/>
      <c r="S15" s="244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4">
        <f t="shared" si="0"/>
        <v>3450.52</v>
      </c>
      <c r="AP15" s="244">
        <f t="shared" si="4"/>
        <v>3795.42</v>
      </c>
      <c r="AQ15" s="244">
        <f t="shared" si="1"/>
        <v>9.087268339208835</v>
      </c>
      <c r="AR15" s="226"/>
      <c r="AS15" s="226"/>
      <c r="AT15" s="1">
        <v>11</v>
      </c>
      <c r="AU15" s="2" t="s">
        <v>11</v>
      </c>
      <c r="AV15" s="4">
        <v>221.26</v>
      </c>
      <c r="AW15" s="4">
        <v>123.64</v>
      </c>
      <c r="AX15" s="4">
        <f t="shared" si="5"/>
        <v>344.9</v>
      </c>
    </row>
    <row r="16" spans="1:50" ht="18" customHeight="1">
      <c r="A16" s="1">
        <v>12</v>
      </c>
      <c r="B16" s="2" t="s">
        <v>78</v>
      </c>
      <c r="C16" s="242">
        <f t="shared" si="2"/>
        <v>61.8</v>
      </c>
      <c r="D16" s="243"/>
      <c r="E16" s="242">
        <v>207.21</v>
      </c>
      <c r="F16" s="242">
        <v>25.09</v>
      </c>
      <c r="G16" s="242">
        <v>63.9</v>
      </c>
      <c r="H16" s="242">
        <v>0</v>
      </c>
      <c r="I16" s="242">
        <v>19.38</v>
      </c>
      <c r="J16" s="244">
        <v>101.74</v>
      </c>
      <c r="K16" s="245">
        <f t="shared" si="3"/>
        <v>0</v>
      </c>
      <c r="L16" s="244"/>
      <c r="M16" s="244"/>
      <c r="N16" s="245"/>
      <c r="O16" s="245"/>
      <c r="P16" s="245"/>
      <c r="Q16" s="245"/>
      <c r="R16" s="245"/>
      <c r="S16" s="244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4">
        <f t="shared" si="0"/>
        <v>417.32</v>
      </c>
      <c r="AP16" s="244">
        <f t="shared" si="4"/>
        <v>479.12</v>
      </c>
      <c r="AQ16" s="244">
        <f t="shared" si="1"/>
        <v>12.898647520454166</v>
      </c>
      <c r="AR16" s="226"/>
      <c r="AS16" s="226"/>
      <c r="AT16" s="1">
        <v>12</v>
      </c>
      <c r="AU16" s="2" t="s">
        <v>78</v>
      </c>
      <c r="AV16" s="4">
        <v>15.87</v>
      </c>
      <c r="AW16" s="4">
        <v>45.93</v>
      </c>
      <c r="AX16" s="4">
        <f t="shared" si="5"/>
        <v>61.8</v>
      </c>
    </row>
    <row r="17" spans="1:50" ht="18" customHeight="1">
      <c r="A17" s="1">
        <v>13</v>
      </c>
      <c r="B17" s="2" t="s">
        <v>12</v>
      </c>
      <c r="C17" s="242">
        <f t="shared" si="2"/>
        <v>134.6</v>
      </c>
      <c r="D17" s="243"/>
      <c r="E17" s="242">
        <v>348.73</v>
      </c>
      <c r="F17" s="242">
        <f>9.52+78.62</f>
        <v>88.14</v>
      </c>
      <c r="G17" s="242">
        <v>131.94</v>
      </c>
      <c r="H17" s="242">
        <v>81.48</v>
      </c>
      <c r="I17" s="242">
        <v>41.37</v>
      </c>
      <c r="J17" s="244">
        <v>91.09</v>
      </c>
      <c r="K17" s="245">
        <f t="shared" si="3"/>
        <v>0</v>
      </c>
      <c r="L17" s="244"/>
      <c r="M17" s="244"/>
      <c r="N17" s="245"/>
      <c r="O17" s="245"/>
      <c r="P17" s="245"/>
      <c r="Q17" s="245"/>
      <c r="R17" s="245"/>
      <c r="S17" s="244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4">
        <f t="shared" si="0"/>
        <v>782.75</v>
      </c>
      <c r="AP17" s="244">
        <f t="shared" si="4"/>
        <v>917.35</v>
      </c>
      <c r="AQ17" s="244">
        <f t="shared" si="1"/>
        <v>14.672698533820242</v>
      </c>
      <c r="AR17" s="226"/>
      <c r="AS17" s="226"/>
      <c r="AT17" s="1">
        <v>13</v>
      </c>
      <c r="AU17" s="2" t="s">
        <v>12</v>
      </c>
      <c r="AV17" s="4">
        <v>35.58</v>
      </c>
      <c r="AW17" s="4">
        <v>99.02</v>
      </c>
      <c r="AX17" s="4">
        <f t="shared" si="5"/>
        <v>134.6</v>
      </c>
    </row>
    <row r="18" spans="1:50" s="317" customFormat="1" ht="18" customHeight="1">
      <c r="A18" s="327">
        <v>14</v>
      </c>
      <c r="B18" s="328" t="s">
        <v>13</v>
      </c>
      <c r="C18" s="256">
        <f t="shared" si="2"/>
        <v>200.79</v>
      </c>
      <c r="D18" s="329"/>
      <c r="E18" s="256">
        <v>562.87</v>
      </c>
      <c r="F18" s="256">
        <v>74.72</v>
      </c>
      <c r="G18" s="256">
        <v>309.25</v>
      </c>
      <c r="H18" s="256">
        <v>118.27</v>
      </c>
      <c r="I18" s="256">
        <v>378.07</v>
      </c>
      <c r="J18" s="245">
        <v>27.35</v>
      </c>
      <c r="K18" s="245">
        <f t="shared" si="3"/>
        <v>86.45</v>
      </c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58">
        <v>86.45</v>
      </c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>
        <f t="shared" si="0"/>
        <v>1556.98</v>
      </c>
      <c r="AP18" s="245">
        <f t="shared" si="4"/>
        <v>1757.77</v>
      </c>
      <c r="AQ18" s="245">
        <f t="shared" si="1"/>
        <v>11.42299618266326</v>
      </c>
      <c r="AR18" s="330"/>
      <c r="AS18" s="330"/>
      <c r="AT18" s="327">
        <v>14</v>
      </c>
      <c r="AU18" s="328" t="s">
        <v>13</v>
      </c>
      <c r="AV18" s="331">
        <v>87.49</v>
      </c>
      <c r="AW18" s="331">
        <v>113.3</v>
      </c>
      <c r="AX18" s="331">
        <f t="shared" si="5"/>
        <v>200.79</v>
      </c>
    </row>
    <row r="19" spans="1:50" ht="18" customHeight="1">
      <c r="A19" s="1">
        <v>15</v>
      </c>
      <c r="B19" s="2" t="s">
        <v>14</v>
      </c>
      <c r="C19" s="242">
        <f t="shared" si="2"/>
        <v>199.44</v>
      </c>
      <c r="D19" s="243"/>
      <c r="E19" s="242">
        <v>905.69</v>
      </c>
      <c r="F19" s="242">
        <v>105.22</v>
      </c>
      <c r="G19" s="242">
        <v>504.31</v>
      </c>
      <c r="H19" s="242">
        <v>68.17</v>
      </c>
      <c r="I19" s="242">
        <v>293.1</v>
      </c>
      <c r="J19" s="244">
        <v>149.35</v>
      </c>
      <c r="K19" s="245">
        <f t="shared" si="3"/>
        <v>82.65</v>
      </c>
      <c r="L19" s="244"/>
      <c r="M19" s="244">
        <v>82.65</v>
      </c>
      <c r="N19" s="245"/>
      <c r="O19" s="245"/>
      <c r="P19" s="245"/>
      <c r="Q19" s="245"/>
      <c r="R19" s="245"/>
      <c r="S19" s="244"/>
      <c r="T19" s="245"/>
      <c r="U19" s="245"/>
      <c r="V19" s="245"/>
      <c r="W19" s="245"/>
      <c r="X19" s="244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4">
        <f t="shared" si="0"/>
        <v>2108.4900000000002</v>
      </c>
      <c r="AP19" s="244">
        <f t="shared" si="4"/>
        <v>2307.9300000000003</v>
      </c>
      <c r="AQ19" s="244">
        <f t="shared" si="1"/>
        <v>8.641509924477777</v>
      </c>
      <c r="AR19" s="226"/>
      <c r="AS19" s="226"/>
      <c r="AT19" s="1">
        <v>15</v>
      </c>
      <c r="AU19" s="2" t="s">
        <v>14</v>
      </c>
      <c r="AV19" s="4">
        <v>97.73</v>
      </c>
      <c r="AW19" s="4">
        <v>101.71</v>
      </c>
      <c r="AX19" s="4">
        <f t="shared" si="5"/>
        <v>199.44</v>
      </c>
    </row>
    <row r="20" spans="1:50" ht="18" customHeight="1">
      <c r="A20" s="1">
        <v>16</v>
      </c>
      <c r="B20" s="2" t="s">
        <v>15</v>
      </c>
      <c r="C20" s="242">
        <f>AX20</f>
        <v>285.15999999999997</v>
      </c>
      <c r="D20" s="243"/>
      <c r="E20" s="248">
        <v>1192.58</v>
      </c>
      <c r="F20" s="242">
        <v>196.28</v>
      </c>
      <c r="G20" s="242">
        <v>644.15</v>
      </c>
      <c r="H20" s="242">
        <v>271.41</v>
      </c>
      <c r="I20" s="242">
        <v>148.28</v>
      </c>
      <c r="J20" s="244">
        <v>659.91</v>
      </c>
      <c r="K20" s="245">
        <f t="shared" si="3"/>
        <v>42.76</v>
      </c>
      <c r="L20" s="244"/>
      <c r="M20" s="244">
        <v>42.76</v>
      </c>
      <c r="N20" s="245"/>
      <c r="O20" s="245"/>
      <c r="P20" s="245"/>
      <c r="Q20" s="245"/>
      <c r="R20" s="245"/>
      <c r="S20" s="244"/>
      <c r="T20" s="245"/>
      <c r="U20" s="245"/>
      <c r="V20" s="245"/>
      <c r="W20" s="245"/>
      <c r="X20" s="244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4">
        <f t="shared" si="0"/>
        <v>3155.37</v>
      </c>
      <c r="AP20" s="244">
        <f t="shared" si="4"/>
        <v>3440.5299999999997</v>
      </c>
      <c r="AQ20" s="244">
        <f t="shared" si="1"/>
        <v>8.28825791375166</v>
      </c>
      <c r="AR20" s="226"/>
      <c r="AS20" s="226"/>
      <c r="AT20" s="1">
        <v>16</v>
      </c>
      <c r="AU20" s="2" t="s">
        <v>15</v>
      </c>
      <c r="AV20" s="4">
        <v>94.97</v>
      </c>
      <c r="AW20" s="4">
        <v>190.19</v>
      </c>
      <c r="AX20" s="4">
        <f t="shared" si="5"/>
        <v>285.15999999999997</v>
      </c>
    </row>
    <row r="21" spans="1:50" ht="18" customHeight="1">
      <c r="A21" s="1">
        <v>17</v>
      </c>
      <c r="B21" s="2" t="s">
        <v>79</v>
      </c>
      <c r="C21" s="242">
        <f aca="true" t="shared" si="6" ref="C21:C29">AX21</f>
        <v>234.55</v>
      </c>
      <c r="D21" s="243"/>
      <c r="E21" s="242">
        <v>765.09</v>
      </c>
      <c r="F21" s="242">
        <v>111.37</v>
      </c>
      <c r="G21" s="242">
        <v>778.94</v>
      </c>
      <c r="H21" s="242">
        <v>140.08</v>
      </c>
      <c r="I21" s="242">
        <v>347.23</v>
      </c>
      <c r="J21" s="244">
        <v>139.59</v>
      </c>
      <c r="K21" s="245">
        <f t="shared" si="3"/>
        <v>245.09</v>
      </c>
      <c r="L21" s="244">
        <v>244.71</v>
      </c>
      <c r="M21" s="244"/>
      <c r="N21" s="245"/>
      <c r="O21" s="245"/>
      <c r="P21" s="245"/>
      <c r="Q21" s="245"/>
      <c r="R21" s="245"/>
      <c r="S21" s="244">
        <v>0.38</v>
      </c>
      <c r="T21" s="245"/>
      <c r="U21" s="245"/>
      <c r="V21" s="245"/>
      <c r="W21" s="245"/>
      <c r="X21" s="244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4">
        <f t="shared" si="0"/>
        <v>2527.3900000000003</v>
      </c>
      <c r="AP21" s="244">
        <f t="shared" si="4"/>
        <v>2761.9400000000005</v>
      </c>
      <c r="AQ21" s="244">
        <f t="shared" si="1"/>
        <v>8.492219237202834</v>
      </c>
      <c r="AR21" s="226"/>
      <c r="AS21" s="226"/>
      <c r="AT21" s="1">
        <v>17</v>
      </c>
      <c r="AU21" s="2" t="s">
        <v>79</v>
      </c>
      <c r="AV21" s="4">
        <v>50.56</v>
      </c>
      <c r="AW21" s="4">
        <v>183.99</v>
      </c>
      <c r="AX21" s="4">
        <f t="shared" si="5"/>
        <v>234.55</v>
      </c>
    </row>
    <row r="22" spans="1:50" ht="18" customHeight="1">
      <c r="A22" s="1">
        <v>18</v>
      </c>
      <c r="B22" s="2" t="s">
        <v>80</v>
      </c>
      <c r="C22" s="242">
        <f t="shared" si="6"/>
        <v>168.97</v>
      </c>
      <c r="D22" s="243"/>
      <c r="E22" s="242">
        <v>371.95</v>
      </c>
      <c r="F22" s="242">
        <v>65.65</v>
      </c>
      <c r="G22" s="242">
        <v>443.76</v>
      </c>
      <c r="H22" s="242">
        <v>126.56</v>
      </c>
      <c r="I22" s="242">
        <v>600.72</v>
      </c>
      <c r="J22" s="244">
        <v>11.16</v>
      </c>
      <c r="K22" s="245">
        <f t="shared" si="3"/>
        <v>180.73000000000002</v>
      </c>
      <c r="L22" s="244">
        <v>172.55</v>
      </c>
      <c r="M22" s="244">
        <v>7.84</v>
      </c>
      <c r="N22" s="245"/>
      <c r="O22" s="245"/>
      <c r="P22" s="245"/>
      <c r="Q22" s="245"/>
      <c r="R22" s="245"/>
      <c r="S22" s="244">
        <v>0.34</v>
      </c>
      <c r="T22" s="245"/>
      <c r="U22" s="245"/>
      <c r="V22" s="245"/>
      <c r="W22" s="245"/>
      <c r="X22" s="244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4">
        <f t="shared" si="0"/>
        <v>1800.5300000000002</v>
      </c>
      <c r="AP22" s="244">
        <f t="shared" si="4"/>
        <v>1969.5000000000002</v>
      </c>
      <c r="AQ22" s="244">
        <f t="shared" si="1"/>
        <v>8.579334856562578</v>
      </c>
      <c r="AR22" s="226"/>
      <c r="AS22" s="226"/>
      <c r="AT22" s="1">
        <v>18</v>
      </c>
      <c r="AU22" s="2" t="s">
        <v>80</v>
      </c>
      <c r="AV22" s="4">
        <v>72.3</v>
      </c>
      <c r="AW22" s="4">
        <v>96.67</v>
      </c>
      <c r="AX22" s="4">
        <f t="shared" si="5"/>
        <v>168.97</v>
      </c>
    </row>
    <row r="23" spans="1:50" ht="18" customHeight="1">
      <c r="A23" s="1">
        <v>19</v>
      </c>
      <c r="B23" s="2" t="s">
        <v>16</v>
      </c>
      <c r="C23" s="242">
        <f t="shared" si="6"/>
        <v>99.85</v>
      </c>
      <c r="D23" s="243"/>
      <c r="E23" s="242">
        <v>434.1</v>
      </c>
      <c r="F23" s="242">
        <f>19.05+127.6</f>
        <v>146.65</v>
      </c>
      <c r="G23" s="242">
        <v>496.03</v>
      </c>
      <c r="H23" s="242">
        <v>18.75</v>
      </c>
      <c r="I23" s="242">
        <v>108.67</v>
      </c>
      <c r="J23" s="244">
        <v>115.4</v>
      </c>
      <c r="K23" s="245">
        <f t="shared" si="3"/>
        <v>46.52</v>
      </c>
      <c r="L23" s="244"/>
      <c r="M23" s="244">
        <v>46.52</v>
      </c>
      <c r="N23" s="245"/>
      <c r="O23" s="245"/>
      <c r="P23" s="245"/>
      <c r="Q23" s="245"/>
      <c r="R23" s="245"/>
      <c r="S23" s="244"/>
      <c r="T23" s="245"/>
      <c r="U23" s="245"/>
      <c r="V23" s="245"/>
      <c r="W23" s="245"/>
      <c r="X23" s="244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4">
        <f t="shared" si="0"/>
        <v>1366.1200000000001</v>
      </c>
      <c r="AP23" s="244">
        <f t="shared" si="4"/>
        <v>1465.97</v>
      </c>
      <c r="AQ23" s="244">
        <f t="shared" si="1"/>
        <v>6.811189860638348</v>
      </c>
      <c r="AR23" s="226"/>
      <c r="AS23" s="226"/>
      <c r="AT23" s="1">
        <v>19</v>
      </c>
      <c r="AU23" s="2" t="s">
        <v>16</v>
      </c>
      <c r="AV23" s="4">
        <v>21.82</v>
      </c>
      <c r="AW23" s="4">
        <v>78.03</v>
      </c>
      <c r="AX23" s="4">
        <f t="shared" si="5"/>
        <v>99.85</v>
      </c>
    </row>
    <row r="24" spans="1:50" ht="18" customHeight="1">
      <c r="A24" s="1">
        <v>20</v>
      </c>
      <c r="B24" s="2" t="s">
        <v>17</v>
      </c>
      <c r="C24" s="242">
        <f t="shared" si="6"/>
        <v>96.78</v>
      </c>
      <c r="D24" s="243"/>
      <c r="E24" s="242">
        <v>299.43</v>
      </c>
      <c r="F24" s="242">
        <f>43.27+85.39</f>
        <v>128.66</v>
      </c>
      <c r="G24" s="242">
        <v>369.69</v>
      </c>
      <c r="H24" s="242">
        <v>116.56</v>
      </c>
      <c r="I24" s="242">
        <v>61.79</v>
      </c>
      <c r="J24" s="244">
        <v>112.17</v>
      </c>
      <c r="K24" s="245">
        <f t="shared" si="3"/>
        <v>26</v>
      </c>
      <c r="L24" s="244"/>
      <c r="M24" s="244">
        <v>26</v>
      </c>
      <c r="N24" s="245"/>
      <c r="O24" s="245"/>
      <c r="P24" s="245"/>
      <c r="Q24" s="245"/>
      <c r="R24" s="245"/>
      <c r="S24" s="244"/>
      <c r="T24" s="245"/>
      <c r="U24" s="245"/>
      <c r="V24" s="245"/>
      <c r="W24" s="245"/>
      <c r="X24" s="244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4">
        <f t="shared" si="0"/>
        <v>1114.3</v>
      </c>
      <c r="AP24" s="244">
        <f t="shared" si="4"/>
        <v>1211.08</v>
      </c>
      <c r="AQ24" s="244">
        <f t="shared" si="1"/>
        <v>7.9912144532153135</v>
      </c>
      <c r="AR24" s="226"/>
      <c r="AS24" s="226"/>
      <c r="AT24" s="1">
        <v>20</v>
      </c>
      <c r="AU24" s="2" t="s">
        <v>17</v>
      </c>
      <c r="AV24" s="4">
        <v>67.53</v>
      </c>
      <c r="AW24" s="4">
        <v>29.25</v>
      </c>
      <c r="AX24" s="4">
        <f t="shared" si="5"/>
        <v>96.78</v>
      </c>
    </row>
    <row r="25" spans="1:50" ht="18" customHeight="1">
      <c r="A25" s="1">
        <v>21</v>
      </c>
      <c r="B25" s="2" t="s">
        <v>18</v>
      </c>
      <c r="C25" s="242">
        <f t="shared" si="6"/>
        <v>107.83</v>
      </c>
      <c r="D25" s="243"/>
      <c r="E25" s="242"/>
      <c r="F25" s="242"/>
      <c r="G25" s="242">
        <v>254.96</v>
      </c>
      <c r="H25" s="242"/>
      <c r="I25" s="242"/>
      <c r="J25" s="249">
        <v>174.13</v>
      </c>
      <c r="K25" s="245">
        <f t="shared" si="3"/>
        <v>0</v>
      </c>
      <c r="L25" s="244"/>
      <c r="M25" s="244"/>
      <c r="N25" s="245"/>
      <c r="O25" s="245"/>
      <c r="P25" s="245"/>
      <c r="Q25" s="245"/>
      <c r="R25" s="245"/>
      <c r="S25" s="244"/>
      <c r="T25" s="245"/>
      <c r="U25" s="245"/>
      <c r="V25" s="245"/>
      <c r="W25" s="245"/>
      <c r="X25" s="244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4">
        <f t="shared" si="0"/>
        <v>429.09000000000003</v>
      </c>
      <c r="AP25" s="244">
        <f t="shared" si="4"/>
        <v>536.9200000000001</v>
      </c>
      <c r="AQ25" s="244">
        <f t="shared" si="1"/>
        <v>20.08306637860389</v>
      </c>
      <c r="AR25" s="226"/>
      <c r="AS25" s="226"/>
      <c r="AT25" s="1">
        <v>21</v>
      </c>
      <c r="AU25" s="2" t="s">
        <v>18</v>
      </c>
      <c r="AV25" s="4">
        <v>62.9</v>
      </c>
      <c r="AW25" s="4">
        <v>44.93</v>
      </c>
      <c r="AX25" s="4">
        <f t="shared" si="5"/>
        <v>107.83</v>
      </c>
    </row>
    <row r="26" spans="1:50" ht="18" customHeight="1">
      <c r="A26" s="1">
        <v>22</v>
      </c>
      <c r="B26" s="2" t="s">
        <v>19</v>
      </c>
      <c r="C26" s="242">
        <f t="shared" si="6"/>
        <v>1735.77</v>
      </c>
      <c r="D26" s="243">
        <v>0.19</v>
      </c>
      <c r="E26" s="242">
        <v>2533.55</v>
      </c>
      <c r="F26" s="242">
        <v>828.02</v>
      </c>
      <c r="G26" s="242">
        <v>1498.86</v>
      </c>
      <c r="H26" s="242">
        <f>500.88+402.38</f>
        <v>903.26</v>
      </c>
      <c r="I26" s="242">
        <f>1006.91+5.27</f>
        <v>1012.18</v>
      </c>
      <c r="J26" s="244">
        <v>402.57</v>
      </c>
      <c r="K26" s="245">
        <f t="shared" si="3"/>
        <v>363.0400000000001</v>
      </c>
      <c r="L26" s="244">
        <v>111.85</v>
      </c>
      <c r="M26" s="244">
        <v>0.13</v>
      </c>
      <c r="N26" s="244">
        <v>79.34</v>
      </c>
      <c r="O26" s="244">
        <v>0.11</v>
      </c>
      <c r="P26" s="245"/>
      <c r="Q26" s="244">
        <v>88.78</v>
      </c>
      <c r="R26" s="244"/>
      <c r="S26" s="244"/>
      <c r="T26" s="245">
        <v>3.56</v>
      </c>
      <c r="U26" s="245"/>
      <c r="V26" s="245"/>
      <c r="W26" s="245"/>
      <c r="X26" s="244"/>
      <c r="Y26" s="244"/>
      <c r="Z26" s="245"/>
      <c r="AA26" s="244">
        <v>65.01</v>
      </c>
      <c r="AB26" s="244">
        <v>3.04</v>
      </c>
      <c r="AC26" s="244">
        <v>7.18</v>
      </c>
      <c r="AD26" s="245"/>
      <c r="AE26" s="245"/>
      <c r="AF26" s="245"/>
      <c r="AG26" s="247">
        <v>0</v>
      </c>
      <c r="AH26" s="245"/>
      <c r="AI26" s="244">
        <v>4.04</v>
      </c>
      <c r="AJ26" s="245"/>
      <c r="AK26" s="245"/>
      <c r="AL26" s="244">
        <v>2.01</v>
      </c>
      <c r="AM26" s="244"/>
      <c r="AN26" s="244"/>
      <c r="AO26" s="244">
        <f>E26+F26+G26+H26+I26+J26+K26+AL26</f>
        <v>7543.490000000001</v>
      </c>
      <c r="AP26" s="244">
        <f t="shared" si="4"/>
        <v>9279.45</v>
      </c>
      <c r="AQ26" s="244">
        <f t="shared" si="1"/>
        <v>18.705526728416014</v>
      </c>
      <c r="AR26" s="226"/>
      <c r="AS26" s="226"/>
      <c r="AT26" s="1">
        <v>22</v>
      </c>
      <c r="AU26" s="2" t="s">
        <v>19</v>
      </c>
      <c r="AV26" s="4"/>
      <c r="AW26" s="4"/>
      <c r="AX26" s="4">
        <v>1735.77</v>
      </c>
    </row>
    <row r="27" spans="1:50" ht="18" customHeight="1">
      <c r="A27" s="1">
        <v>23</v>
      </c>
      <c r="B27" s="2" t="s">
        <v>20</v>
      </c>
      <c r="C27" s="242">
        <f t="shared" si="6"/>
        <v>252.97</v>
      </c>
      <c r="D27" s="243"/>
      <c r="E27" s="242">
        <v>1034.34</v>
      </c>
      <c r="F27" s="242">
        <v>306.79</v>
      </c>
      <c r="G27" s="242">
        <v>466.5</v>
      </c>
      <c r="H27" s="242">
        <v>340.02</v>
      </c>
      <c r="I27" s="242">
        <v>152.38</v>
      </c>
      <c r="J27" s="244">
        <v>206.72</v>
      </c>
      <c r="K27" s="245">
        <f t="shared" si="3"/>
        <v>812.6800000000001</v>
      </c>
      <c r="L27" s="244">
        <v>1.56</v>
      </c>
      <c r="M27" s="244"/>
      <c r="N27" s="244">
        <v>90.73</v>
      </c>
      <c r="O27" s="244"/>
      <c r="P27" s="245"/>
      <c r="Q27" s="244"/>
      <c r="R27" s="244"/>
      <c r="S27" s="244">
        <v>88.78</v>
      </c>
      <c r="T27" s="245">
        <v>198.03</v>
      </c>
      <c r="U27" s="247">
        <v>184.09</v>
      </c>
      <c r="V27" s="244">
        <v>36.71</v>
      </c>
      <c r="W27" s="245"/>
      <c r="X27" s="244"/>
      <c r="Y27" s="244">
        <v>180.9</v>
      </c>
      <c r="Z27" s="244"/>
      <c r="AA27" s="244"/>
      <c r="AB27" s="244"/>
      <c r="AC27" s="244">
        <v>18.32</v>
      </c>
      <c r="AD27" s="245"/>
      <c r="AE27" s="245"/>
      <c r="AF27" s="245"/>
      <c r="AG27" s="244"/>
      <c r="AH27" s="245"/>
      <c r="AI27" s="244">
        <v>13.56</v>
      </c>
      <c r="AJ27" s="245"/>
      <c r="AK27" s="245"/>
      <c r="AL27" s="245"/>
      <c r="AM27" s="244">
        <v>22.14</v>
      </c>
      <c r="AN27" s="244"/>
      <c r="AO27" s="244">
        <f>E27+F27+G27+H27+I27+J27+K27+AM27</f>
        <v>3341.5699999999993</v>
      </c>
      <c r="AP27" s="244">
        <f t="shared" si="4"/>
        <v>3594.539999999999</v>
      </c>
      <c r="AQ27" s="244">
        <f t="shared" si="1"/>
        <v>7.037618165328528</v>
      </c>
      <c r="AR27" s="226"/>
      <c r="AS27" s="226"/>
      <c r="AT27" s="1">
        <v>23</v>
      </c>
      <c r="AU27" s="2" t="s">
        <v>20</v>
      </c>
      <c r="AV27" s="4"/>
      <c r="AW27" s="4"/>
      <c r="AX27" s="4">
        <v>252.97</v>
      </c>
    </row>
    <row r="28" spans="1:50" ht="18" customHeight="1">
      <c r="A28" s="1">
        <v>24</v>
      </c>
      <c r="B28" s="328" t="s">
        <v>21</v>
      </c>
      <c r="C28" s="242">
        <f t="shared" si="6"/>
        <v>1219.84</v>
      </c>
      <c r="D28" s="243">
        <v>206.12</v>
      </c>
      <c r="E28" s="242">
        <f>690.87+0.26</f>
        <v>691.13</v>
      </c>
      <c r="F28" s="242"/>
      <c r="G28" s="242">
        <v>56.96</v>
      </c>
      <c r="H28" s="256">
        <f>38.41+262.14+0.02</f>
        <v>300.56999999999994</v>
      </c>
      <c r="I28" s="242">
        <v>29.59</v>
      </c>
      <c r="J28" s="244">
        <v>30.9</v>
      </c>
      <c r="K28" s="245">
        <f t="shared" si="3"/>
        <v>164.63199999999995</v>
      </c>
      <c r="L28" s="244"/>
      <c r="M28" s="244"/>
      <c r="N28" s="244">
        <v>34.19</v>
      </c>
      <c r="O28" s="244">
        <v>0.002</v>
      </c>
      <c r="P28" s="245"/>
      <c r="Q28" s="247">
        <v>10.13</v>
      </c>
      <c r="R28" s="244">
        <v>48.26</v>
      </c>
      <c r="S28" s="244"/>
      <c r="T28" s="245">
        <v>2.71</v>
      </c>
      <c r="U28" s="244"/>
      <c r="V28" s="244">
        <v>0.21</v>
      </c>
      <c r="W28" s="244">
        <v>0.58</v>
      </c>
      <c r="X28" s="244">
        <v>43.03</v>
      </c>
      <c r="Y28" s="244">
        <v>2.67</v>
      </c>
      <c r="Z28" s="244"/>
      <c r="AA28" s="244">
        <v>0.53</v>
      </c>
      <c r="AB28" s="244">
        <v>0.26</v>
      </c>
      <c r="AC28" s="244"/>
      <c r="AD28" s="247">
        <v>0.62</v>
      </c>
      <c r="AE28" s="245"/>
      <c r="AF28" s="247">
        <v>1.87</v>
      </c>
      <c r="AG28" s="244"/>
      <c r="AH28" s="244">
        <v>0.09</v>
      </c>
      <c r="AI28" s="244">
        <v>19.48</v>
      </c>
      <c r="AJ28" s="245"/>
      <c r="AK28" s="245"/>
      <c r="AL28" s="245"/>
      <c r="AM28" s="245"/>
      <c r="AN28" s="244">
        <f>0.2+1.65+0.15+42.49+4.45+73.8+48.26</f>
        <v>171</v>
      </c>
      <c r="AO28" s="244">
        <f>E28+F28+G28+H28+I28+J28+K28+AN28</f>
        <v>1444.7819999999997</v>
      </c>
      <c r="AP28" s="244">
        <f t="shared" si="4"/>
        <v>2870.7419999999993</v>
      </c>
      <c r="AQ28" s="244">
        <f t="shared" si="1"/>
        <v>42.49215011310665</v>
      </c>
      <c r="AR28" s="226"/>
      <c r="AS28" s="226"/>
      <c r="AT28" s="1">
        <v>24</v>
      </c>
      <c r="AU28" s="2" t="s">
        <v>21</v>
      </c>
      <c r="AV28" s="4"/>
      <c r="AW28" s="4"/>
      <c r="AX28" s="4">
        <v>1219.84</v>
      </c>
    </row>
    <row r="29" spans="1:50" ht="24" customHeight="1">
      <c r="A29" s="1">
        <v>25</v>
      </c>
      <c r="B29" s="2" t="s">
        <v>23</v>
      </c>
      <c r="C29" s="242">
        <f t="shared" si="6"/>
        <v>6.71</v>
      </c>
      <c r="D29" s="243"/>
      <c r="E29" s="242">
        <f>15.4+0.07</f>
        <v>15.47</v>
      </c>
      <c r="F29" s="242"/>
      <c r="G29" s="242"/>
      <c r="H29" s="242">
        <v>12.26</v>
      </c>
      <c r="I29" s="242"/>
      <c r="J29" s="244"/>
      <c r="K29" s="245">
        <f t="shared" si="3"/>
        <v>53.77</v>
      </c>
      <c r="L29" s="244"/>
      <c r="M29" s="244"/>
      <c r="N29" s="244"/>
      <c r="O29" s="244"/>
      <c r="P29" s="244"/>
      <c r="Q29" s="244"/>
      <c r="R29" s="244"/>
      <c r="S29" s="244"/>
      <c r="T29" s="245"/>
      <c r="U29" s="244"/>
      <c r="V29" s="244"/>
      <c r="W29" s="244">
        <v>11.86</v>
      </c>
      <c r="X29" s="244"/>
      <c r="Y29" s="244"/>
      <c r="Z29" s="244"/>
      <c r="AA29" s="244"/>
      <c r="AB29" s="244">
        <v>34.29</v>
      </c>
      <c r="AC29" s="244"/>
      <c r="AD29" s="244"/>
      <c r="AE29" s="247">
        <v>4.15</v>
      </c>
      <c r="AF29" s="244"/>
      <c r="AG29" s="244"/>
      <c r="AH29" s="244"/>
      <c r="AI29" s="244"/>
      <c r="AJ29" s="247">
        <v>2.95</v>
      </c>
      <c r="AK29" s="247">
        <v>0.52</v>
      </c>
      <c r="AL29" s="247"/>
      <c r="AM29" s="247"/>
      <c r="AN29" s="247"/>
      <c r="AO29" s="244">
        <f>E29+F29+G29+H29+I29+J29+K29</f>
        <v>81.5</v>
      </c>
      <c r="AP29" s="244">
        <f t="shared" si="4"/>
        <v>88.21</v>
      </c>
      <c r="AQ29" s="244">
        <f t="shared" si="1"/>
        <v>7.6068472962249185</v>
      </c>
      <c r="AR29" s="226"/>
      <c r="AS29" s="226"/>
      <c r="AT29" s="1">
        <v>25</v>
      </c>
      <c r="AU29" s="2" t="s">
        <v>23</v>
      </c>
      <c r="AV29" s="4"/>
      <c r="AW29" s="4"/>
      <c r="AX29" s="4">
        <v>6.71</v>
      </c>
    </row>
    <row r="30" spans="1:50" ht="21.75" customHeight="1">
      <c r="A30" s="1"/>
      <c r="B30" s="227" t="s">
        <v>0</v>
      </c>
      <c r="C30" s="250">
        <f>SUM(C5:C29)</f>
        <v>7119.4400000000005</v>
      </c>
      <c r="D30" s="251">
        <f>SUM(D5:D28)</f>
        <v>206.31</v>
      </c>
      <c r="E30" s="250">
        <f aca="true" t="shared" si="7" ref="E30:Q30">SUM(E5:E29)</f>
        <v>15886.59</v>
      </c>
      <c r="F30" s="250">
        <f t="shared" si="7"/>
        <v>3465.04</v>
      </c>
      <c r="G30" s="250">
        <f t="shared" si="7"/>
        <v>10263.899999999998</v>
      </c>
      <c r="H30" s="250">
        <f t="shared" si="7"/>
        <v>4163.22</v>
      </c>
      <c r="I30" s="250">
        <f t="shared" si="7"/>
        <v>8117.400000000001</v>
      </c>
      <c r="J30" s="250">
        <f t="shared" si="7"/>
        <v>2612.362</v>
      </c>
      <c r="K30" s="252">
        <f t="shared" si="7"/>
        <v>2945.5227000000004</v>
      </c>
      <c r="L30" s="250">
        <f t="shared" si="7"/>
        <v>1169.4299999999998</v>
      </c>
      <c r="M30" s="250">
        <f t="shared" si="7"/>
        <v>292.91</v>
      </c>
      <c r="N30" s="250">
        <f t="shared" si="7"/>
        <v>204.26</v>
      </c>
      <c r="O30" s="250">
        <f t="shared" si="7"/>
        <v>0.112</v>
      </c>
      <c r="P30" s="250">
        <f t="shared" si="7"/>
        <v>0</v>
      </c>
      <c r="Q30" s="250">
        <f t="shared" si="7"/>
        <v>98.91</v>
      </c>
      <c r="R30" s="250">
        <f aca="true" t="shared" si="8" ref="R30:AP30">SUM(R5:R29)</f>
        <v>48.26</v>
      </c>
      <c r="S30" s="250">
        <f t="shared" si="8"/>
        <v>204.9307</v>
      </c>
      <c r="T30" s="252">
        <f t="shared" si="8"/>
        <v>204.3</v>
      </c>
      <c r="U30" s="250">
        <f t="shared" si="8"/>
        <v>184.09</v>
      </c>
      <c r="V30" s="250">
        <f t="shared" si="8"/>
        <v>36.92</v>
      </c>
      <c r="W30" s="250">
        <f t="shared" si="8"/>
        <v>12.44</v>
      </c>
      <c r="X30" s="250">
        <f t="shared" si="8"/>
        <v>129.48000000000002</v>
      </c>
      <c r="Y30" s="250">
        <f t="shared" si="8"/>
        <v>183.57</v>
      </c>
      <c r="Z30" s="250">
        <f t="shared" si="8"/>
        <v>0</v>
      </c>
      <c r="AA30" s="250">
        <f t="shared" si="8"/>
        <v>65.54</v>
      </c>
      <c r="AB30" s="250">
        <f t="shared" si="8"/>
        <v>37.589999999999996</v>
      </c>
      <c r="AC30" s="250">
        <f t="shared" si="8"/>
        <v>25.5</v>
      </c>
      <c r="AD30" s="250">
        <f t="shared" si="8"/>
        <v>0.62</v>
      </c>
      <c r="AE30" s="250">
        <f t="shared" si="8"/>
        <v>4.15</v>
      </c>
      <c r="AF30" s="250">
        <f t="shared" si="8"/>
        <v>1.87</v>
      </c>
      <c r="AG30" s="250">
        <f t="shared" si="8"/>
        <v>0</v>
      </c>
      <c r="AH30" s="250">
        <f t="shared" si="8"/>
        <v>0.09</v>
      </c>
      <c r="AI30" s="250">
        <f t="shared" si="8"/>
        <v>37.08</v>
      </c>
      <c r="AJ30" s="250">
        <f t="shared" si="8"/>
        <v>2.95</v>
      </c>
      <c r="AK30" s="250">
        <f t="shared" si="8"/>
        <v>0.52</v>
      </c>
      <c r="AL30" s="250">
        <f t="shared" si="8"/>
        <v>2.01</v>
      </c>
      <c r="AM30" s="250">
        <f t="shared" si="8"/>
        <v>22.14</v>
      </c>
      <c r="AN30" s="250">
        <f t="shared" si="8"/>
        <v>171</v>
      </c>
      <c r="AO30" s="250">
        <f t="shared" si="8"/>
        <v>47649.18469999999</v>
      </c>
      <c r="AP30" s="250">
        <f t="shared" si="8"/>
        <v>54974.9347</v>
      </c>
      <c r="AQ30" s="250">
        <f t="shared" si="1"/>
        <v>12.950338256609154</v>
      </c>
      <c r="AR30" s="230"/>
      <c r="AS30" s="230"/>
      <c r="AT30" s="1"/>
      <c r="AU30" s="227" t="s">
        <v>0</v>
      </c>
      <c r="AV30" s="229">
        <f>SUM(AV5:AV28)</f>
        <v>1535.07</v>
      </c>
      <c r="AW30" s="229">
        <f>SUM(AW5:AW28)</f>
        <v>2369.08</v>
      </c>
      <c r="AX30" s="228">
        <f>SUM(AX5:AX29)</f>
        <v>7119.4400000000005</v>
      </c>
    </row>
    <row r="31" spans="1:50" ht="20.25" customHeight="1">
      <c r="A31" s="231">
        <v>26</v>
      </c>
      <c r="B31" s="232" t="s">
        <v>120</v>
      </c>
      <c r="C31" s="254"/>
      <c r="D31" s="255">
        <f>190.3+131.75</f>
        <v>322.05</v>
      </c>
      <c r="E31" s="254">
        <v>1315.71</v>
      </c>
      <c r="F31" s="254">
        <v>292.92</v>
      </c>
      <c r="G31" s="254">
        <v>1078.17</v>
      </c>
      <c r="H31" s="254">
        <v>225.15</v>
      </c>
      <c r="I31" s="254">
        <v>466.2</v>
      </c>
      <c r="J31" s="244">
        <v>172.32</v>
      </c>
      <c r="K31" s="245">
        <f>L31+M31+N31+O31+P31+Q31+R31+S31+T31+U31+V31+W31+X31+Y31+Z31+AA31+AB31+AC31+AD31+AE31+AF31+AG31+AH31+AI31+AJ31+AK31</f>
        <v>49.93</v>
      </c>
      <c r="L31" s="244"/>
      <c r="M31" s="244">
        <v>49.93</v>
      </c>
      <c r="N31" s="244"/>
      <c r="O31" s="244"/>
      <c r="P31" s="244"/>
      <c r="Q31" s="247"/>
      <c r="R31" s="244"/>
      <c r="S31" s="244"/>
      <c r="T31" s="245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  <c r="AJ31" s="244"/>
      <c r="AK31" s="244"/>
      <c r="AL31" s="244"/>
      <c r="AM31" s="244"/>
      <c r="AN31" s="244"/>
      <c r="AO31" s="244">
        <f>E31+F31+G31+H31+I31+J31+K31</f>
        <v>3600.4</v>
      </c>
      <c r="AP31" s="244">
        <f>AO31+D31+C31</f>
        <v>3922.4500000000003</v>
      </c>
      <c r="AQ31" s="244">
        <f t="shared" si="1"/>
        <v>0</v>
      </c>
      <c r="AR31" s="226"/>
      <c r="AS31" s="226"/>
      <c r="AT31" s="231">
        <v>26</v>
      </c>
      <c r="AU31" s="232" t="s">
        <v>120</v>
      </c>
      <c r="AV31" s="4"/>
      <c r="AW31" s="4"/>
      <c r="AX31" s="4"/>
    </row>
    <row r="32" spans="1:51" ht="19.5" customHeight="1">
      <c r="A32" s="231">
        <v>27</v>
      </c>
      <c r="B32" s="232" t="s">
        <v>121</v>
      </c>
      <c r="C32" s="254"/>
      <c r="D32" s="243">
        <f>428.08+65.45</f>
        <v>493.53</v>
      </c>
      <c r="E32" s="254">
        <v>614.6</v>
      </c>
      <c r="F32" s="254">
        <v>293.35</v>
      </c>
      <c r="G32" s="254">
        <v>1037.41</v>
      </c>
      <c r="H32" s="254">
        <v>349.97</v>
      </c>
      <c r="I32" s="254">
        <v>279.04</v>
      </c>
      <c r="J32" s="244">
        <v>120.82</v>
      </c>
      <c r="K32" s="245">
        <f>L32+M32+N32+O32+P32+Q32+R32+S32+T32+U32+V32+W32+X32+Y32+Z32+AA32+AB32+AC32+AD32+AE32+AF32+AG32+AH32+AI32+AJ32+AK32</f>
        <v>90.19</v>
      </c>
      <c r="L32" s="244"/>
      <c r="M32" s="244"/>
      <c r="N32" s="244"/>
      <c r="O32" s="244"/>
      <c r="P32" s="244">
        <v>90.19</v>
      </c>
      <c r="Q32" s="247"/>
      <c r="R32" s="244"/>
      <c r="S32" s="244"/>
      <c r="T32" s="245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>
        <f>E32+F32+G32+H32+I32+J32+K32</f>
        <v>2785.38</v>
      </c>
      <c r="AP32" s="244">
        <f>AO32+D32+C32</f>
        <v>3278.91</v>
      </c>
      <c r="AQ32" s="244">
        <f t="shared" si="1"/>
        <v>0</v>
      </c>
      <c r="AR32" s="226"/>
      <c r="AS32" s="226"/>
      <c r="AT32" s="231">
        <v>27</v>
      </c>
      <c r="AU32" s="232" t="s">
        <v>121</v>
      </c>
      <c r="AV32" s="4"/>
      <c r="AW32" s="4"/>
      <c r="AX32" s="4"/>
      <c r="AY32" s="3">
        <f>AV30/AX30*100</f>
        <v>21.561667771622485</v>
      </c>
    </row>
    <row r="33" spans="1:50" ht="21.75" customHeight="1">
      <c r="A33" s="231"/>
      <c r="B33" s="232" t="s">
        <v>122</v>
      </c>
      <c r="C33" s="250">
        <f aca="true" t="shared" si="9" ref="C33:T33">SUM(C30:C32)</f>
        <v>7119.4400000000005</v>
      </c>
      <c r="D33" s="250">
        <f t="shared" si="9"/>
        <v>1021.89</v>
      </c>
      <c r="E33" s="250">
        <f t="shared" si="9"/>
        <v>17816.899999999998</v>
      </c>
      <c r="F33" s="250">
        <f t="shared" si="9"/>
        <v>4051.31</v>
      </c>
      <c r="G33" s="250">
        <f t="shared" si="9"/>
        <v>12379.479999999998</v>
      </c>
      <c r="H33" s="250">
        <f t="shared" si="9"/>
        <v>4738.34</v>
      </c>
      <c r="I33" s="250">
        <f t="shared" si="9"/>
        <v>8862.640000000001</v>
      </c>
      <c r="J33" s="250">
        <f t="shared" si="9"/>
        <v>2905.5020000000004</v>
      </c>
      <c r="K33" s="252">
        <f t="shared" si="9"/>
        <v>3085.6427000000003</v>
      </c>
      <c r="L33" s="250">
        <f t="shared" si="9"/>
        <v>1169.4299999999998</v>
      </c>
      <c r="M33" s="250">
        <f t="shared" si="9"/>
        <v>342.84000000000003</v>
      </c>
      <c r="N33" s="250">
        <f t="shared" si="9"/>
        <v>204.26</v>
      </c>
      <c r="O33" s="250">
        <f t="shared" si="9"/>
        <v>0.112</v>
      </c>
      <c r="P33" s="250">
        <f t="shared" si="9"/>
        <v>90.19</v>
      </c>
      <c r="Q33" s="253">
        <f t="shared" si="9"/>
        <v>98.91</v>
      </c>
      <c r="R33" s="250">
        <f t="shared" si="9"/>
        <v>48.26</v>
      </c>
      <c r="S33" s="250">
        <f t="shared" si="9"/>
        <v>204.9307</v>
      </c>
      <c r="T33" s="252">
        <f t="shared" si="9"/>
        <v>204.3</v>
      </c>
      <c r="U33" s="250">
        <f>SUM(U30:U32)</f>
        <v>184.09</v>
      </c>
      <c r="V33" s="250">
        <f aca="true" t="shared" si="10" ref="V33:AN33">SUM(V30:V32)</f>
        <v>36.92</v>
      </c>
      <c r="W33" s="250">
        <f t="shared" si="10"/>
        <v>12.44</v>
      </c>
      <c r="X33" s="250">
        <f t="shared" si="10"/>
        <v>129.48000000000002</v>
      </c>
      <c r="Y33" s="250">
        <f t="shared" si="10"/>
        <v>183.57</v>
      </c>
      <c r="Z33" s="250">
        <f t="shared" si="10"/>
        <v>0</v>
      </c>
      <c r="AA33" s="250">
        <f t="shared" si="10"/>
        <v>65.54</v>
      </c>
      <c r="AB33" s="250">
        <f t="shared" si="10"/>
        <v>37.589999999999996</v>
      </c>
      <c r="AC33" s="250">
        <f t="shared" si="10"/>
        <v>25.5</v>
      </c>
      <c r="AD33" s="250">
        <f t="shared" si="10"/>
        <v>0.62</v>
      </c>
      <c r="AE33" s="250">
        <f t="shared" si="10"/>
        <v>4.15</v>
      </c>
      <c r="AF33" s="250">
        <f t="shared" si="10"/>
        <v>1.87</v>
      </c>
      <c r="AG33" s="250">
        <f t="shared" si="10"/>
        <v>0</v>
      </c>
      <c r="AH33" s="250">
        <f t="shared" si="10"/>
        <v>0.09</v>
      </c>
      <c r="AI33" s="250">
        <f t="shared" si="10"/>
        <v>37.08</v>
      </c>
      <c r="AJ33" s="250">
        <f t="shared" si="10"/>
        <v>2.95</v>
      </c>
      <c r="AK33" s="250">
        <f t="shared" si="10"/>
        <v>0.52</v>
      </c>
      <c r="AL33" s="250">
        <f t="shared" si="10"/>
        <v>2.01</v>
      </c>
      <c r="AM33" s="250">
        <f t="shared" si="10"/>
        <v>22.14</v>
      </c>
      <c r="AN33" s="250">
        <f t="shared" si="10"/>
        <v>171</v>
      </c>
      <c r="AO33" s="250">
        <f>SUM(AO30:AO32)</f>
        <v>54034.96469999999</v>
      </c>
      <c r="AP33" s="244">
        <f>AO33+D33+C33</f>
        <v>62176.29469999999</v>
      </c>
      <c r="AQ33" s="250">
        <f t="shared" si="1"/>
        <v>11.450408928919337</v>
      </c>
      <c r="AR33" s="230"/>
      <c r="AS33" s="230"/>
      <c r="AT33" s="231"/>
      <c r="AU33" s="232" t="s">
        <v>122</v>
      </c>
      <c r="AV33" s="4"/>
      <c r="AW33" s="4"/>
      <c r="AX33" s="4"/>
    </row>
    <row r="34" spans="1:47" ht="29.25" customHeight="1">
      <c r="A34" s="229" t="s">
        <v>37</v>
      </c>
      <c r="B34" s="229"/>
      <c r="C34" s="250">
        <f aca="true" t="shared" si="11" ref="C34:AB34">C33/$AP$33*100</f>
        <v>11.450408928919337</v>
      </c>
      <c r="D34" s="250">
        <f t="shared" si="11"/>
        <v>1.6435363427985041</v>
      </c>
      <c r="E34" s="250">
        <f t="shared" si="11"/>
        <v>28.655454761282193</v>
      </c>
      <c r="F34" s="250">
        <f t="shared" si="11"/>
        <v>6.515843408725995</v>
      </c>
      <c r="G34" s="250">
        <f t="shared" si="11"/>
        <v>19.910289057479005</v>
      </c>
      <c r="H34" s="250">
        <f t="shared" si="11"/>
        <v>7.620814368019908</v>
      </c>
      <c r="I34" s="250">
        <f t="shared" si="11"/>
        <v>14.254049783381515</v>
      </c>
      <c r="J34" s="250">
        <f t="shared" si="11"/>
        <v>4.673006029096811</v>
      </c>
      <c r="K34" s="252">
        <f t="shared" si="11"/>
        <v>4.962731720968893</v>
      </c>
      <c r="L34" s="250">
        <f t="shared" si="11"/>
        <v>1.8808293508683465</v>
      </c>
      <c r="M34" s="250">
        <f t="shared" si="11"/>
        <v>0.5513998568975518</v>
      </c>
      <c r="N34" s="250">
        <f t="shared" si="11"/>
        <v>0.3285174856198049</v>
      </c>
      <c r="O34" s="250">
        <f t="shared" si="11"/>
        <v>0.00018013295990119532</v>
      </c>
      <c r="P34" s="250">
        <f t="shared" si="11"/>
        <v>0.14505528262043574</v>
      </c>
      <c r="Q34" s="250">
        <f t="shared" si="11"/>
        <v>0.1590799202127431</v>
      </c>
      <c r="R34" s="250">
        <f t="shared" si="11"/>
        <v>0.07761800575742575</v>
      </c>
      <c r="S34" s="250">
        <f t="shared" si="11"/>
        <v>0.3295961925502132</v>
      </c>
      <c r="T34" s="252">
        <f t="shared" si="11"/>
        <v>0.32858181881976967</v>
      </c>
      <c r="U34" s="250">
        <f t="shared" si="11"/>
        <v>0.29607746953759856</v>
      </c>
      <c r="V34" s="250">
        <f t="shared" si="11"/>
        <v>0.059379543567429735</v>
      </c>
      <c r="W34" s="250">
        <f t="shared" si="11"/>
        <v>0.02000762518902562</v>
      </c>
      <c r="X34" s="250">
        <f t="shared" si="11"/>
        <v>0.20824656828577473</v>
      </c>
      <c r="Y34" s="250">
        <f t="shared" si="11"/>
        <v>0.29524113793805734</v>
      </c>
      <c r="Z34" s="250">
        <f t="shared" si="11"/>
        <v>0</v>
      </c>
      <c r="AA34" s="250">
        <f t="shared" si="11"/>
        <v>0.10540994814218162</v>
      </c>
      <c r="AB34" s="250">
        <f t="shared" si="11"/>
        <v>0.06045712466683866</v>
      </c>
      <c r="AC34" s="250">
        <f>AC33/$AP$33*100</f>
        <v>0.04101241497750428</v>
      </c>
      <c r="AD34" s="250">
        <f>AD33/$AP$33*100</f>
        <v>0.0009971645994530454</v>
      </c>
      <c r="AE34" s="250">
        <f aca="true" t="shared" si="12" ref="AE34:AP34">AE33/$AP$33*100</f>
        <v>0.0066745694963389335</v>
      </c>
      <c r="AF34" s="250">
        <f t="shared" si="12"/>
        <v>0.0030075770983503144</v>
      </c>
      <c r="AG34" s="250">
        <f t="shared" si="12"/>
        <v>0</v>
      </c>
      <c r="AH34" s="250">
        <f t="shared" si="12"/>
        <v>0.00014474969992060336</v>
      </c>
      <c r="AI34" s="250">
        <f t="shared" si="12"/>
        <v>0.05963687636728858</v>
      </c>
      <c r="AJ34" s="250">
        <f t="shared" si="12"/>
        <v>0.004744573497397555</v>
      </c>
      <c r="AK34" s="250">
        <f t="shared" si="12"/>
        <v>0.0008363315995412639</v>
      </c>
      <c r="AL34" s="250">
        <f t="shared" si="12"/>
        <v>0.003232743298226808</v>
      </c>
      <c r="AM34" s="250">
        <f t="shared" si="12"/>
        <v>0.03560842618046843</v>
      </c>
      <c r="AN34" s="250">
        <f t="shared" si="12"/>
        <v>0.2750244298491464</v>
      </c>
      <c r="AO34" s="250">
        <f t="shared" si="12"/>
        <v>86.90605472828216</v>
      </c>
      <c r="AP34" s="250">
        <f t="shared" si="12"/>
        <v>100</v>
      </c>
      <c r="AT34" s="229" t="s">
        <v>37</v>
      </c>
      <c r="AU34" s="229"/>
    </row>
    <row r="35" spans="15:42" ht="15" hidden="1">
      <c r="O35" s="236" t="s">
        <v>82</v>
      </c>
      <c r="P35" s="236"/>
      <c r="AO35" s="236" t="s">
        <v>83</v>
      </c>
      <c r="AP35" s="236"/>
    </row>
    <row r="36" spans="2:56" ht="37.5" customHeight="1" hidden="1">
      <c r="B36" s="219"/>
      <c r="C36" s="477" t="s">
        <v>123</v>
      </c>
      <c r="D36" s="477"/>
      <c r="E36" s="477"/>
      <c r="F36" s="477"/>
      <c r="G36" s="477"/>
      <c r="H36" s="477"/>
      <c r="I36" s="477"/>
      <c r="J36" s="477"/>
      <c r="K36" s="477"/>
      <c r="L36" s="477"/>
      <c r="M36" s="477"/>
      <c r="N36" s="477"/>
      <c r="O36" s="477"/>
      <c r="P36" s="477"/>
      <c r="Q36" s="477"/>
      <c r="R36" s="477"/>
      <c r="T36" s="270"/>
      <c r="V36" s="478" t="str">
        <f>C36</f>
        <v>Sub: License area wise %age Gross Revenue Share of BSNL (Gross Revenue in Rs. Crore) for the quarter ending June 2013 of F. Y. 2013-14</v>
      </c>
      <c r="W36" s="478"/>
      <c r="X36" s="478"/>
      <c r="Y36" s="478"/>
      <c r="Z36" s="478"/>
      <c r="AA36" s="478"/>
      <c r="AB36" s="478"/>
      <c r="AC36" s="478"/>
      <c r="AD36" s="478"/>
      <c r="AE36" s="478"/>
      <c r="AF36" s="478"/>
      <c r="AG36" s="478"/>
      <c r="AH36" s="478"/>
      <c r="AI36" s="478"/>
      <c r="AJ36" s="478"/>
      <c r="AK36" s="478"/>
      <c r="AL36" s="478"/>
      <c r="AM36" s="478"/>
      <c r="AN36" s="478"/>
      <c r="AO36" s="478"/>
      <c r="AP36" s="478"/>
      <c r="AQ36" s="478"/>
      <c r="AR36" s="219"/>
      <c r="AS36" s="219"/>
      <c r="AU36" s="219"/>
      <c r="AV36" s="219"/>
      <c r="AW36" s="219"/>
      <c r="AX36" s="219"/>
      <c r="AY36" s="219"/>
      <c r="AZ36" s="219"/>
      <c r="BA36" s="219"/>
      <c r="BB36" s="219"/>
      <c r="BC36" s="219"/>
      <c r="BD36" s="219"/>
    </row>
    <row r="37" spans="1:56" s="16" customFormat="1" ht="7.5" customHeight="1" hidden="1">
      <c r="A37" s="3"/>
      <c r="B37" s="3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61"/>
      <c r="U37" s="235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</row>
    <row r="38" spans="3:50" ht="15.75" customHeight="1" hidden="1">
      <c r="C38" s="237">
        <v>1</v>
      </c>
      <c r="D38" s="237">
        <v>2</v>
      </c>
      <c r="E38" s="237">
        <v>3</v>
      </c>
      <c r="F38" s="237">
        <v>4</v>
      </c>
      <c r="G38" s="237">
        <v>5</v>
      </c>
      <c r="H38" s="237">
        <v>6</v>
      </c>
      <c r="I38" s="237">
        <v>7</v>
      </c>
      <c r="J38" s="237">
        <v>8</v>
      </c>
      <c r="K38" s="237"/>
      <c r="L38" s="237">
        <v>9</v>
      </c>
      <c r="M38" s="237">
        <v>10</v>
      </c>
      <c r="N38" s="237">
        <v>11</v>
      </c>
      <c r="O38" s="237">
        <v>12</v>
      </c>
      <c r="P38" s="237">
        <v>13</v>
      </c>
      <c r="Q38" s="237">
        <v>14</v>
      </c>
      <c r="R38" s="237">
        <v>15</v>
      </c>
      <c r="S38" s="237">
        <v>16</v>
      </c>
      <c r="T38" s="268">
        <v>17</v>
      </c>
      <c r="U38" s="237">
        <v>18</v>
      </c>
      <c r="V38" s="237">
        <v>19</v>
      </c>
      <c r="W38" s="237">
        <v>20</v>
      </c>
      <c r="X38" s="237">
        <v>21</v>
      </c>
      <c r="Y38" s="237">
        <v>22</v>
      </c>
      <c r="Z38" s="237">
        <v>23</v>
      </c>
      <c r="AA38" s="237">
        <v>24</v>
      </c>
      <c r="AB38" s="237">
        <v>25</v>
      </c>
      <c r="AC38" s="237">
        <v>26</v>
      </c>
      <c r="AD38" s="238">
        <v>27</v>
      </c>
      <c r="AE38" s="238">
        <v>28</v>
      </c>
      <c r="AF38" s="238">
        <v>29</v>
      </c>
      <c r="AG38" s="238">
        <v>30</v>
      </c>
      <c r="AH38" s="238">
        <v>31</v>
      </c>
      <c r="AI38" s="238">
        <v>32</v>
      </c>
      <c r="AJ38" s="238">
        <v>33</v>
      </c>
      <c r="AK38" s="238">
        <v>34</v>
      </c>
      <c r="AL38" s="238"/>
      <c r="AM38" s="238"/>
      <c r="AN38" s="238"/>
      <c r="AO38" s="238"/>
      <c r="AP38" s="238"/>
      <c r="AQ38" s="238"/>
      <c r="AR38" s="220"/>
      <c r="AS38" s="220"/>
      <c r="AV38" s="480" t="s">
        <v>24</v>
      </c>
      <c r="AW38" s="480"/>
      <c r="AX38" s="480"/>
    </row>
    <row r="39" spans="1:56" ht="47.25" customHeight="1" hidden="1">
      <c r="A39" s="221" t="s">
        <v>74</v>
      </c>
      <c r="B39" s="221" t="s">
        <v>84</v>
      </c>
      <c r="C39" s="239" t="s">
        <v>24</v>
      </c>
      <c r="D39" s="240" t="s">
        <v>85</v>
      </c>
      <c r="E39" s="239" t="s">
        <v>22</v>
      </c>
      <c r="F39" s="239" t="s">
        <v>86</v>
      </c>
      <c r="G39" s="239" t="s">
        <v>87</v>
      </c>
      <c r="H39" s="239" t="s">
        <v>88</v>
      </c>
      <c r="I39" s="239" t="s">
        <v>25</v>
      </c>
      <c r="J39" s="239" t="s">
        <v>89</v>
      </c>
      <c r="K39" s="240" t="s">
        <v>26</v>
      </c>
      <c r="L39" s="240" t="s">
        <v>90</v>
      </c>
      <c r="M39" s="240" t="s">
        <v>91</v>
      </c>
      <c r="N39" s="240" t="s">
        <v>92</v>
      </c>
      <c r="O39" s="240" t="s">
        <v>93</v>
      </c>
      <c r="P39" s="240" t="s">
        <v>94</v>
      </c>
      <c r="Q39" s="241" t="s">
        <v>95</v>
      </c>
      <c r="R39" s="240" t="s">
        <v>96</v>
      </c>
      <c r="S39" s="240" t="s">
        <v>97</v>
      </c>
      <c r="T39" s="269" t="s">
        <v>98</v>
      </c>
      <c r="U39" s="239" t="s">
        <v>99</v>
      </c>
      <c r="V39" s="241" t="s">
        <v>100</v>
      </c>
      <c r="W39" s="241" t="s">
        <v>101</v>
      </c>
      <c r="X39" s="241" t="s">
        <v>102</v>
      </c>
      <c r="Y39" s="241" t="s">
        <v>103</v>
      </c>
      <c r="Z39" s="241" t="s">
        <v>104</v>
      </c>
      <c r="AA39" s="241" t="s">
        <v>105</v>
      </c>
      <c r="AB39" s="241" t="s">
        <v>106</v>
      </c>
      <c r="AC39" s="241" t="s">
        <v>107</v>
      </c>
      <c r="AD39" s="241" t="s">
        <v>108</v>
      </c>
      <c r="AE39" s="241" t="s">
        <v>109</v>
      </c>
      <c r="AF39" s="241" t="s">
        <v>110</v>
      </c>
      <c r="AG39" s="241" t="s">
        <v>111</v>
      </c>
      <c r="AH39" s="241" t="s">
        <v>112</v>
      </c>
      <c r="AI39" s="241" t="s">
        <v>113</v>
      </c>
      <c r="AJ39" s="241" t="s">
        <v>114</v>
      </c>
      <c r="AK39" s="241" t="s">
        <v>115</v>
      </c>
      <c r="AL39" s="241"/>
      <c r="AM39" s="241"/>
      <c r="AN39" s="241"/>
      <c r="AO39" s="239" t="s">
        <v>118</v>
      </c>
      <c r="AP39" s="239" t="s">
        <v>27</v>
      </c>
      <c r="AQ39" s="239" t="s">
        <v>119</v>
      </c>
      <c r="AR39" s="222"/>
      <c r="AS39" s="222"/>
      <c r="AT39" s="221" t="s">
        <v>74</v>
      </c>
      <c r="AU39" s="221" t="s">
        <v>84</v>
      </c>
      <c r="AV39" s="223" t="s">
        <v>70</v>
      </c>
      <c r="AW39" s="224" t="s">
        <v>71</v>
      </c>
      <c r="AX39" s="225" t="s">
        <v>0</v>
      </c>
      <c r="AY39" s="16"/>
      <c r="AZ39" s="16"/>
      <c r="BA39" s="16"/>
      <c r="BB39" s="16"/>
      <c r="BC39" s="16"/>
      <c r="BD39" s="16"/>
    </row>
    <row r="40" spans="1:50" ht="15" customHeight="1" hidden="1">
      <c r="A40" s="1">
        <v>1</v>
      </c>
      <c r="B40" s="2" t="s">
        <v>1</v>
      </c>
      <c r="C40" s="242">
        <f aca="true" t="shared" si="13" ref="C40:C54">AX40</f>
        <v>440.15</v>
      </c>
      <c r="D40" s="243"/>
      <c r="E40" s="256">
        <v>1197.33</v>
      </c>
      <c r="F40" s="256">
        <v>182.55</v>
      </c>
      <c r="G40" s="256">
        <v>361.01</v>
      </c>
      <c r="H40" s="256">
        <v>316.11</v>
      </c>
      <c r="I40" s="256">
        <v>627.87</v>
      </c>
      <c r="J40" s="244">
        <v>49.64</v>
      </c>
      <c r="K40" s="245">
        <f>L40+M40+N40+O40+P40+Q40+R40+S40+T40+U40+V40+W40+X40+Y40+Z40+AA40+AB40+AC40+AD40+AE40+AF40+AG40+AH40+AI40+AJ40+AK40</f>
        <v>87.7</v>
      </c>
      <c r="L40" s="245">
        <v>87.7</v>
      </c>
      <c r="M40" s="245"/>
      <c r="N40" s="245"/>
      <c r="O40" s="245"/>
      <c r="P40" s="245"/>
      <c r="Q40" s="245"/>
      <c r="R40" s="245"/>
      <c r="S40" s="244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>
        <f aca="true" t="shared" si="14" ref="AO40:AO64">E40+F40+G40+H40+I40+J40+K40</f>
        <v>2822.2099999999996</v>
      </c>
      <c r="AP40" s="245">
        <f aca="true" t="shared" si="15" ref="AP40:AP64">AO40+D40+C40</f>
        <v>3262.3599999999997</v>
      </c>
      <c r="AQ40" s="245">
        <f aca="true" t="shared" si="16" ref="AQ40:AQ68">C40/AP40*100</f>
        <v>13.49176669650192</v>
      </c>
      <c r="AR40" s="226"/>
      <c r="AS40" s="226"/>
      <c r="AT40" s="1">
        <v>1</v>
      </c>
      <c r="AU40" s="2" t="s">
        <v>1</v>
      </c>
      <c r="AV40" s="4">
        <v>150.35</v>
      </c>
      <c r="AW40" s="4">
        <v>289.8</v>
      </c>
      <c r="AX40" s="4">
        <f>SUM(AV40:AW40)</f>
        <v>440.15</v>
      </c>
    </row>
    <row r="41" spans="1:50" ht="15" customHeight="1" hidden="1">
      <c r="A41" s="1">
        <v>2</v>
      </c>
      <c r="B41" s="2" t="s">
        <v>2</v>
      </c>
      <c r="C41" s="242">
        <f t="shared" si="13"/>
        <v>98.44999999999999</v>
      </c>
      <c r="D41" s="243"/>
      <c r="E41" s="256">
        <v>240.26</v>
      </c>
      <c r="F41" s="257">
        <v>103.82</v>
      </c>
      <c r="G41" s="256">
        <v>128.54</v>
      </c>
      <c r="H41" s="256"/>
      <c r="I41" s="256">
        <v>20.07</v>
      </c>
      <c r="J41" s="244">
        <v>157.54</v>
      </c>
      <c r="K41" s="245">
        <f aca="true" t="shared" si="17" ref="K41:K64">L41+M41+N41+O41+P41+Q41+R41+S41+T41+U41+V41+W41+X41+Y41+Z41+AA41+AB41+AC41+AD41+AE41+AF41+AG41+AH41+AI41+AJ41+AK41</f>
        <v>0</v>
      </c>
      <c r="L41" s="245"/>
      <c r="M41" s="245"/>
      <c r="N41" s="245"/>
      <c r="O41" s="245"/>
      <c r="P41" s="245"/>
      <c r="Q41" s="245"/>
      <c r="R41" s="245"/>
      <c r="S41" s="244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>
        <f t="shared" si="14"/>
        <v>650.23</v>
      </c>
      <c r="AP41" s="245">
        <f t="shared" si="15"/>
        <v>748.6800000000001</v>
      </c>
      <c r="AQ41" s="245">
        <f t="shared" si="16"/>
        <v>13.149810332852486</v>
      </c>
      <c r="AR41" s="226"/>
      <c r="AS41" s="226"/>
      <c r="AT41" s="1">
        <v>2</v>
      </c>
      <c r="AU41" s="2" t="s">
        <v>2</v>
      </c>
      <c r="AV41" s="4">
        <v>33.01</v>
      </c>
      <c r="AW41" s="4">
        <v>65.44</v>
      </c>
      <c r="AX41" s="4">
        <f aca="true" t="shared" si="18" ref="AX41:AX60">SUM(AV41:AW41)</f>
        <v>98.44999999999999</v>
      </c>
    </row>
    <row r="42" spans="1:50" ht="15" customHeight="1" hidden="1">
      <c r="A42" s="1">
        <v>3</v>
      </c>
      <c r="B42" s="2" t="s">
        <v>3</v>
      </c>
      <c r="C42" s="242">
        <f t="shared" si="13"/>
        <v>138.68</v>
      </c>
      <c r="D42" s="243"/>
      <c r="E42" s="256">
        <v>947.66</v>
      </c>
      <c r="F42" s="256">
        <v>247.26000000000002</v>
      </c>
      <c r="G42" s="256">
        <v>269.46</v>
      </c>
      <c r="H42" s="256">
        <v>111.15</v>
      </c>
      <c r="I42" s="256">
        <v>242.84</v>
      </c>
      <c r="J42" s="244">
        <v>105.12</v>
      </c>
      <c r="K42" s="245">
        <f t="shared" si="17"/>
        <v>87.78</v>
      </c>
      <c r="L42" s="245">
        <v>87.78</v>
      </c>
      <c r="M42" s="245"/>
      <c r="N42" s="245"/>
      <c r="O42" s="245"/>
      <c r="P42" s="245"/>
      <c r="Q42" s="245"/>
      <c r="R42" s="245"/>
      <c r="S42" s="244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5">
        <f t="shared" si="14"/>
        <v>2011.2700000000002</v>
      </c>
      <c r="AP42" s="245">
        <f t="shared" si="15"/>
        <v>2149.9500000000003</v>
      </c>
      <c r="AQ42" s="245">
        <f t="shared" si="16"/>
        <v>6.450382567036442</v>
      </c>
      <c r="AR42" s="226"/>
      <c r="AS42" s="226"/>
      <c r="AT42" s="1">
        <v>3</v>
      </c>
      <c r="AU42" s="2" t="s">
        <v>3</v>
      </c>
      <c r="AV42" s="4">
        <v>49.66</v>
      </c>
      <c r="AW42" s="4">
        <v>89.02</v>
      </c>
      <c r="AX42" s="4">
        <f t="shared" si="18"/>
        <v>138.68</v>
      </c>
    </row>
    <row r="43" spans="1:50" ht="15" customHeight="1" hidden="1">
      <c r="A43" s="1">
        <v>4</v>
      </c>
      <c r="B43" s="2" t="s">
        <v>4</v>
      </c>
      <c r="C43" s="242">
        <f t="shared" si="13"/>
        <v>225.67000000000002</v>
      </c>
      <c r="D43" s="243"/>
      <c r="E43" s="256">
        <v>420.86</v>
      </c>
      <c r="F43" s="256">
        <v>152.48</v>
      </c>
      <c r="G43" s="256">
        <v>935.14</v>
      </c>
      <c r="H43" s="256">
        <v>140.89</v>
      </c>
      <c r="I43" s="256">
        <v>457.57</v>
      </c>
      <c r="J43" s="244">
        <v>12.81</v>
      </c>
      <c r="K43" s="245">
        <f t="shared" si="17"/>
        <v>132.45</v>
      </c>
      <c r="L43" s="245">
        <v>109.45</v>
      </c>
      <c r="M43" s="245">
        <v>7.13</v>
      </c>
      <c r="N43" s="245"/>
      <c r="O43" s="245"/>
      <c r="P43" s="245"/>
      <c r="Q43" s="245"/>
      <c r="R43" s="245"/>
      <c r="S43" s="244">
        <v>15.87</v>
      </c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245"/>
      <c r="AO43" s="245">
        <f t="shared" si="14"/>
        <v>2252.2</v>
      </c>
      <c r="AP43" s="245">
        <f t="shared" si="15"/>
        <v>2477.87</v>
      </c>
      <c r="AQ43" s="245">
        <f t="shared" si="16"/>
        <v>9.10741887185365</v>
      </c>
      <c r="AR43" s="226"/>
      <c r="AS43" s="226"/>
      <c r="AT43" s="1">
        <v>4</v>
      </c>
      <c r="AU43" s="2" t="s">
        <v>4</v>
      </c>
      <c r="AV43" s="4">
        <v>127.01</v>
      </c>
      <c r="AW43" s="4">
        <v>98.66</v>
      </c>
      <c r="AX43" s="4">
        <f t="shared" si="18"/>
        <v>225.67000000000002</v>
      </c>
    </row>
    <row r="44" spans="1:50" ht="15" customHeight="1" hidden="1">
      <c r="A44" s="1">
        <v>5</v>
      </c>
      <c r="B44" s="2" t="s">
        <v>5</v>
      </c>
      <c r="C44" s="242">
        <f t="shared" si="13"/>
        <v>117.97</v>
      </c>
      <c r="D44" s="243"/>
      <c r="E44" s="256">
        <v>150.69</v>
      </c>
      <c r="F44" s="256">
        <v>38.95</v>
      </c>
      <c r="G44" s="256">
        <v>258.91</v>
      </c>
      <c r="H44" s="256">
        <v>104.28</v>
      </c>
      <c r="I44" s="256">
        <v>222.15</v>
      </c>
      <c r="J44" s="244">
        <v>0.02</v>
      </c>
      <c r="K44" s="245">
        <f t="shared" si="17"/>
        <v>20.91</v>
      </c>
      <c r="L44" s="245"/>
      <c r="M44" s="245"/>
      <c r="N44" s="245"/>
      <c r="O44" s="245"/>
      <c r="P44" s="245"/>
      <c r="Q44" s="245"/>
      <c r="R44" s="245"/>
      <c r="S44" s="244">
        <v>20.91</v>
      </c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245">
        <f t="shared" si="14"/>
        <v>795.91</v>
      </c>
      <c r="AP44" s="245">
        <f t="shared" si="15"/>
        <v>913.88</v>
      </c>
      <c r="AQ44" s="245">
        <f t="shared" si="16"/>
        <v>12.908696984286777</v>
      </c>
      <c r="AR44" s="226"/>
      <c r="AS44" s="226"/>
      <c r="AT44" s="1">
        <v>5</v>
      </c>
      <c r="AU44" s="2" t="s">
        <v>5</v>
      </c>
      <c r="AV44" s="4">
        <v>42.28</v>
      </c>
      <c r="AW44" s="4">
        <v>75.69</v>
      </c>
      <c r="AX44" s="4">
        <f t="shared" si="18"/>
        <v>117.97</v>
      </c>
    </row>
    <row r="45" spans="1:50" ht="15" customHeight="1" hidden="1">
      <c r="A45" s="1">
        <v>6</v>
      </c>
      <c r="B45" s="2" t="s">
        <v>6</v>
      </c>
      <c r="C45" s="242">
        <f t="shared" si="13"/>
        <v>57.75</v>
      </c>
      <c r="D45" s="243"/>
      <c r="E45" s="256">
        <v>121.06</v>
      </c>
      <c r="F45" s="256">
        <v>45.480000000000004</v>
      </c>
      <c r="G45" s="256">
        <v>29.92</v>
      </c>
      <c r="H45" s="256">
        <v>7.85</v>
      </c>
      <c r="I45" s="256">
        <v>29.87</v>
      </c>
      <c r="J45" s="244">
        <v>17.92</v>
      </c>
      <c r="K45" s="245">
        <f t="shared" si="17"/>
        <v>0</v>
      </c>
      <c r="L45" s="245"/>
      <c r="M45" s="245"/>
      <c r="N45" s="245"/>
      <c r="O45" s="245"/>
      <c r="P45" s="245"/>
      <c r="Q45" s="245"/>
      <c r="R45" s="245"/>
      <c r="S45" s="244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>
        <f t="shared" si="14"/>
        <v>252.10000000000002</v>
      </c>
      <c r="AP45" s="245">
        <f t="shared" si="15"/>
        <v>309.85</v>
      </c>
      <c r="AQ45" s="245">
        <f t="shared" si="16"/>
        <v>18.638050669678876</v>
      </c>
      <c r="AR45" s="226"/>
      <c r="AS45" s="226"/>
      <c r="AT45" s="1">
        <v>6</v>
      </c>
      <c r="AU45" s="2" t="s">
        <v>6</v>
      </c>
      <c r="AV45" s="4">
        <v>16.28</v>
      </c>
      <c r="AW45" s="4">
        <v>41.47</v>
      </c>
      <c r="AX45" s="4">
        <f t="shared" si="18"/>
        <v>57.75</v>
      </c>
    </row>
    <row r="46" spans="1:50" ht="15" customHeight="1" hidden="1">
      <c r="A46" s="1">
        <v>7</v>
      </c>
      <c r="B46" s="2" t="s">
        <v>7</v>
      </c>
      <c r="C46" s="242">
        <f t="shared" si="13"/>
        <v>74.96</v>
      </c>
      <c r="D46" s="243"/>
      <c r="E46" s="256">
        <v>179.94</v>
      </c>
      <c r="F46" s="256">
        <v>24.64</v>
      </c>
      <c r="G46" s="256">
        <v>43.59</v>
      </c>
      <c r="H46" s="256"/>
      <c r="I46" s="256">
        <v>16.97</v>
      </c>
      <c r="J46" s="244">
        <v>117</v>
      </c>
      <c r="K46" s="245">
        <f t="shared" si="17"/>
        <v>0</v>
      </c>
      <c r="L46" s="245"/>
      <c r="M46" s="245"/>
      <c r="N46" s="245"/>
      <c r="O46" s="245"/>
      <c r="P46" s="245"/>
      <c r="Q46" s="245"/>
      <c r="R46" s="245"/>
      <c r="S46" s="244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5"/>
      <c r="AM46" s="245"/>
      <c r="AN46" s="245"/>
      <c r="AO46" s="245">
        <f t="shared" si="14"/>
        <v>382.14</v>
      </c>
      <c r="AP46" s="245">
        <f t="shared" si="15"/>
        <v>457.09999999999997</v>
      </c>
      <c r="AQ46" s="245">
        <f t="shared" si="16"/>
        <v>16.399037409757163</v>
      </c>
      <c r="AR46" s="226"/>
      <c r="AS46" s="226"/>
      <c r="AT46" s="1">
        <v>7</v>
      </c>
      <c r="AU46" s="2" t="s">
        <v>7</v>
      </c>
      <c r="AV46" s="4">
        <v>13.09</v>
      </c>
      <c r="AW46" s="4">
        <v>61.87</v>
      </c>
      <c r="AX46" s="4">
        <f t="shared" si="18"/>
        <v>74.96</v>
      </c>
    </row>
    <row r="47" spans="1:50" ht="15" customHeight="1" hidden="1">
      <c r="A47" s="1">
        <v>8</v>
      </c>
      <c r="B47" s="2" t="s">
        <v>8</v>
      </c>
      <c r="C47" s="242">
        <f t="shared" si="13"/>
        <v>330.3</v>
      </c>
      <c r="D47" s="243"/>
      <c r="E47" s="256">
        <v>1345.81</v>
      </c>
      <c r="F47" s="256">
        <v>174.75</v>
      </c>
      <c r="G47" s="256">
        <v>472.58</v>
      </c>
      <c r="H47" s="256">
        <v>316.68</v>
      </c>
      <c r="I47" s="256">
        <v>298.09</v>
      </c>
      <c r="J47" s="244">
        <v>60.93</v>
      </c>
      <c r="K47" s="245">
        <f t="shared" si="17"/>
        <v>57.28</v>
      </c>
      <c r="L47" s="245"/>
      <c r="M47" s="245">
        <v>57.28</v>
      </c>
      <c r="N47" s="245"/>
      <c r="O47" s="245"/>
      <c r="P47" s="245"/>
      <c r="Q47" s="245"/>
      <c r="R47" s="245"/>
      <c r="S47" s="244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/>
      <c r="AN47" s="245"/>
      <c r="AO47" s="245">
        <f t="shared" si="14"/>
        <v>2726.12</v>
      </c>
      <c r="AP47" s="245">
        <f t="shared" si="15"/>
        <v>3056.42</v>
      </c>
      <c r="AQ47" s="245">
        <f t="shared" si="16"/>
        <v>10.806760850930173</v>
      </c>
      <c r="AR47" s="226"/>
      <c r="AS47" s="226"/>
      <c r="AT47" s="1">
        <v>8</v>
      </c>
      <c r="AU47" s="2" t="s">
        <v>8</v>
      </c>
      <c r="AV47" s="4">
        <v>163.27</v>
      </c>
      <c r="AW47" s="4">
        <v>167.03</v>
      </c>
      <c r="AX47" s="4">
        <f t="shared" si="18"/>
        <v>330.3</v>
      </c>
    </row>
    <row r="48" spans="1:50" ht="15" customHeight="1" hidden="1">
      <c r="A48" s="1">
        <v>9</v>
      </c>
      <c r="B48" s="2" t="s">
        <v>9</v>
      </c>
      <c r="C48" s="242">
        <f t="shared" si="13"/>
        <v>392.99</v>
      </c>
      <c r="D48" s="243"/>
      <c r="E48" s="256">
        <v>286.29</v>
      </c>
      <c r="F48" s="256">
        <v>54.21</v>
      </c>
      <c r="G48" s="256">
        <v>420.25</v>
      </c>
      <c r="H48" s="256">
        <v>87.13</v>
      </c>
      <c r="I48" s="256">
        <v>611.11</v>
      </c>
      <c r="J48" s="244">
        <v>0.19</v>
      </c>
      <c r="K48" s="245">
        <f t="shared" si="17"/>
        <v>13.24</v>
      </c>
      <c r="L48" s="245"/>
      <c r="M48" s="245">
        <v>13.24</v>
      </c>
      <c r="N48" s="245"/>
      <c r="O48" s="245"/>
      <c r="P48" s="245"/>
      <c r="Q48" s="245"/>
      <c r="R48" s="245"/>
      <c r="S48" s="244"/>
      <c r="T48" s="245"/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  <c r="AE48" s="245"/>
      <c r="AF48" s="245"/>
      <c r="AG48" s="245"/>
      <c r="AH48" s="245"/>
      <c r="AI48" s="245"/>
      <c r="AJ48" s="245"/>
      <c r="AK48" s="245"/>
      <c r="AL48" s="245"/>
      <c r="AM48" s="245"/>
      <c r="AN48" s="245"/>
      <c r="AO48" s="245">
        <f t="shared" si="14"/>
        <v>1472.42</v>
      </c>
      <c r="AP48" s="245">
        <f t="shared" si="15"/>
        <v>1865.41</v>
      </c>
      <c r="AQ48" s="245">
        <f t="shared" si="16"/>
        <v>21.067218466717772</v>
      </c>
      <c r="AR48" s="226"/>
      <c r="AS48" s="226"/>
      <c r="AT48" s="1">
        <v>9</v>
      </c>
      <c r="AU48" s="2" t="s">
        <v>9</v>
      </c>
      <c r="AV48" s="4">
        <v>152.4</v>
      </c>
      <c r="AW48" s="4">
        <v>240.59</v>
      </c>
      <c r="AX48" s="4">
        <f t="shared" si="18"/>
        <v>392.99</v>
      </c>
    </row>
    <row r="49" spans="1:50" ht="15" customHeight="1" hidden="1">
      <c r="A49" s="1">
        <v>10</v>
      </c>
      <c r="B49" s="2" t="s">
        <v>10</v>
      </c>
      <c r="C49" s="242">
        <f t="shared" si="13"/>
        <v>193.9</v>
      </c>
      <c r="D49" s="243"/>
      <c r="E49" s="256">
        <v>480.51</v>
      </c>
      <c r="F49" s="256">
        <v>358.78000000000003</v>
      </c>
      <c r="G49" s="256">
        <v>181.84</v>
      </c>
      <c r="H49" s="256">
        <v>132.65</v>
      </c>
      <c r="I49" s="256">
        <v>707.08</v>
      </c>
      <c r="J49" s="244">
        <v>0.05</v>
      </c>
      <c r="K49" s="245">
        <f t="shared" si="17"/>
        <v>15.89</v>
      </c>
      <c r="L49" s="245"/>
      <c r="M49" s="245"/>
      <c r="N49" s="245"/>
      <c r="O49" s="245"/>
      <c r="P49" s="245"/>
      <c r="Q49" s="245"/>
      <c r="R49" s="245"/>
      <c r="S49" s="244">
        <v>15.89</v>
      </c>
      <c r="T49" s="245"/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45"/>
      <c r="AI49" s="245"/>
      <c r="AJ49" s="245"/>
      <c r="AK49" s="245"/>
      <c r="AL49" s="245"/>
      <c r="AM49" s="245"/>
      <c r="AN49" s="245"/>
      <c r="AO49" s="245">
        <f t="shared" si="14"/>
        <v>1876.8000000000002</v>
      </c>
      <c r="AP49" s="245">
        <f t="shared" si="15"/>
        <v>2070.7000000000003</v>
      </c>
      <c r="AQ49" s="245">
        <f t="shared" si="16"/>
        <v>9.363983194088954</v>
      </c>
      <c r="AR49" s="226"/>
      <c r="AS49" s="226"/>
      <c r="AT49" s="1">
        <v>10</v>
      </c>
      <c r="AU49" s="2" t="s">
        <v>10</v>
      </c>
      <c r="AV49" s="4">
        <v>69.29</v>
      </c>
      <c r="AW49" s="4">
        <v>124.61</v>
      </c>
      <c r="AX49" s="4">
        <f t="shared" si="18"/>
        <v>193.9</v>
      </c>
    </row>
    <row r="50" spans="1:50" ht="15" customHeight="1" hidden="1">
      <c r="A50" s="1">
        <v>11</v>
      </c>
      <c r="B50" s="2" t="s">
        <v>11</v>
      </c>
      <c r="C50" s="242">
        <f t="shared" si="13"/>
        <v>439.18</v>
      </c>
      <c r="D50" s="243"/>
      <c r="E50" s="256">
        <v>696</v>
      </c>
      <c r="F50" s="256">
        <v>178.86</v>
      </c>
      <c r="G50" s="256">
        <v>833.43</v>
      </c>
      <c r="H50" s="256">
        <v>307.38</v>
      </c>
      <c r="I50" s="256">
        <v>965.71</v>
      </c>
      <c r="J50" s="244">
        <v>26.23</v>
      </c>
      <c r="K50" s="245">
        <f t="shared" si="17"/>
        <v>128.74</v>
      </c>
      <c r="L50" s="245">
        <v>126.75</v>
      </c>
      <c r="M50" s="245">
        <v>1.99</v>
      </c>
      <c r="N50" s="245"/>
      <c r="O50" s="245"/>
      <c r="P50" s="245"/>
      <c r="Q50" s="245"/>
      <c r="R50" s="245"/>
      <c r="S50" s="244"/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  <c r="AF50" s="245"/>
      <c r="AG50" s="245"/>
      <c r="AH50" s="245"/>
      <c r="AI50" s="245"/>
      <c r="AJ50" s="245"/>
      <c r="AK50" s="245"/>
      <c r="AL50" s="245"/>
      <c r="AM50" s="245"/>
      <c r="AN50" s="245"/>
      <c r="AO50" s="245">
        <f t="shared" si="14"/>
        <v>3136.3500000000004</v>
      </c>
      <c r="AP50" s="245">
        <f t="shared" si="15"/>
        <v>3575.53</v>
      </c>
      <c r="AQ50" s="245">
        <f t="shared" si="16"/>
        <v>12.28293427827483</v>
      </c>
      <c r="AR50" s="226"/>
      <c r="AS50" s="226"/>
      <c r="AT50" s="1">
        <v>11</v>
      </c>
      <c r="AU50" s="2" t="s">
        <v>11</v>
      </c>
      <c r="AV50" s="4">
        <v>249.36</v>
      </c>
      <c r="AW50" s="4">
        <v>189.82</v>
      </c>
      <c r="AX50" s="4">
        <f t="shared" si="18"/>
        <v>439.18</v>
      </c>
    </row>
    <row r="51" spans="1:50" ht="15" customHeight="1" hidden="1">
      <c r="A51" s="1">
        <v>12</v>
      </c>
      <c r="B51" s="2" t="s">
        <v>78</v>
      </c>
      <c r="C51" s="242">
        <f t="shared" si="13"/>
        <v>63.260000000000005</v>
      </c>
      <c r="D51" s="243"/>
      <c r="E51" s="256">
        <v>194.79</v>
      </c>
      <c r="F51" s="256">
        <v>31.31</v>
      </c>
      <c r="G51" s="256">
        <v>58.37</v>
      </c>
      <c r="H51" s="256"/>
      <c r="I51" s="256">
        <v>16.54</v>
      </c>
      <c r="J51" s="244">
        <v>102.22</v>
      </c>
      <c r="K51" s="245">
        <f t="shared" si="17"/>
        <v>0</v>
      </c>
      <c r="L51" s="245"/>
      <c r="M51" s="245"/>
      <c r="N51" s="245"/>
      <c r="O51" s="245"/>
      <c r="P51" s="245"/>
      <c r="Q51" s="245"/>
      <c r="R51" s="245"/>
      <c r="S51" s="244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245"/>
      <c r="AJ51" s="245"/>
      <c r="AK51" s="245"/>
      <c r="AL51" s="245"/>
      <c r="AM51" s="245"/>
      <c r="AN51" s="245"/>
      <c r="AO51" s="245">
        <f t="shared" si="14"/>
        <v>403.23</v>
      </c>
      <c r="AP51" s="245">
        <f t="shared" si="15"/>
        <v>466.49</v>
      </c>
      <c r="AQ51" s="245">
        <f t="shared" si="16"/>
        <v>13.56084803532766</v>
      </c>
      <c r="AR51" s="226"/>
      <c r="AS51" s="226"/>
      <c r="AT51" s="1">
        <v>12</v>
      </c>
      <c r="AU51" s="2" t="s">
        <v>78</v>
      </c>
      <c r="AV51" s="4">
        <v>12.31</v>
      </c>
      <c r="AW51" s="4">
        <v>50.95</v>
      </c>
      <c r="AX51" s="4">
        <f t="shared" si="18"/>
        <v>63.260000000000005</v>
      </c>
    </row>
    <row r="52" spans="1:50" ht="15" customHeight="1" hidden="1">
      <c r="A52" s="1">
        <v>13</v>
      </c>
      <c r="B52" s="2" t="s">
        <v>12</v>
      </c>
      <c r="C52" s="242">
        <f t="shared" si="13"/>
        <v>146.12</v>
      </c>
      <c r="D52" s="243"/>
      <c r="E52" s="256">
        <v>329.39</v>
      </c>
      <c r="F52" s="256">
        <v>94.99</v>
      </c>
      <c r="G52" s="256">
        <v>120.43</v>
      </c>
      <c r="H52" s="256">
        <v>73.65</v>
      </c>
      <c r="I52" s="256">
        <v>36.83</v>
      </c>
      <c r="J52" s="244">
        <v>69.67</v>
      </c>
      <c r="K52" s="245">
        <f t="shared" si="17"/>
        <v>0</v>
      </c>
      <c r="L52" s="245"/>
      <c r="M52" s="245"/>
      <c r="N52" s="245"/>
      <c r="O52" s="245"/>
      <c r="P52" s="245"/>
      <c r="Q52" s="245"/>
      <c r="R52" s="245"/>
      <c r="S52" s="244"/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5"/>
      <c r="AE52" s="245"/>
      <c r="AF52" s="245"/>
      <c r="AG52" s="245"/>
      <c r="AH52" s="245"/>
      <c r="AI52" s="245"/>
      <c r="AJ52" s="245"/>
      <c r="AK52" s="245"/>
      <c r="AL52" s="245"/>
      <c r="AM52" s="245"/>
      <c r="AN52" s="245"/>
      <c r="AO52" s="245">
        <f t="shared" si="14"/>
        <v>724.9599999999999</v>
      </c>
      <c r="AP52" s="245">
        <f t="shared" si="15"/>
        <v>871.0799999999999</v>
      </c>
      <c r="AQ52" s="245">
        <f t="shared" si="16"/>
        <v>16.774578683932592</v>
      </c>
      <c r="AR52" s="226"/>
      <c r="AS52" s="226"/>
      <c r="AT52" s="1">
        <v>13</v>
      </c>
      <c r="AU52" s="2" t="s">
        <v>12</v>
      </c>
      <c r="AV52" s="4">
        <v>45.76</v>
      </c>
      <c r="AW52" s="4">
        <v>100.36</v>
      </c>
      <c r="AX52" s="4">
        <f t="shared" si="18"/>
        <v>146.12</v>
      </c>
    </row>
    <row r="53" spans="1:50" ht="15" customHeight="1" hidden="1">
      <c r="A53" s="1">
        <v>14</v>
      </c>
      <c r="B53" s="2" t="s">
        <v>13</v>
      </c>
      <c r="C53" s="242">
        <f t="shared" si="13"/>
        <v>178.01999999999998</v>
      </c>
      <c r="D53" s="243"/>
      <c r="E53" s="256">
        <v>519.34</v>
      </c>
      <c r="F53" s="256">
        <v>61.43</v>
      </c>
      <c r="G53" s="256">
        <v>285.28</v>
      </c>
      <c r="H53" s="256">
        <v>113.05</v>
      </c>
      <c r="I53" s="256">
        <v>335.27</v>
      </c>
      <c r="J53" s="244">
        <v>24.84</v>
      </c>
      <c r="K53" s="245">
        <f t="shared" si="17"/>
        <v>62.37</v>
      </c>
      <c r="L53" s="245"/>
      <c r="M53" s="245"/>
      <c r="N53" s="245"/>
      <c r="O53" s="245"/>
      <c r="P53" s="245"/>
      <c r="Q53" s="245"/>
      <c r="R53" s="245"/>
      <c r="S53" s="244"/>
      <c r="T53" s="245"/>
      <c r="U53" s="245"/>
      <c r="V53" s="245"/>
      <c r="W53" s="245"/>
      <c r="X53" s="258">
        <v>62.37</v>
      </c>
      <c r="Y53" s="245"/>
      <c r="Z53" s="245"/>
      <c r="AA53" s="245"/>
      <c r="AB53" s="245"/>
      <c r="AC53" s="245"/>
      <c r="AD53" s="245"/>
      <c r="AE53" s="245"/>
      <c r="AF53" s="245"/>
      <c r="AG53" s="245"/>
      <c r="AH53" s="245"/>
      <c r="AI53" s="245"/>
      <c r="AJ53" s="245"/>
      <c r="AK53" s="245"/>
      <c r="AL53" s="245"/>
      <c r="AM53" s="245"/>
      <c r="AN53" s="245"/>
      <c r="AO53" s="245">
        <f t="shared" si="14"/>
        <v>1401.5799999999997</v>
      </c>
      <c r="AP53" s="245">
        <f t="shared" si="15"/>
        <v>1579.5999999999997</v>
      </c>
      <c r="AQ53" s="245">
        <f t="shared" si="16"/>
        <v>11.26994175740694</v>
      </c>
      <c r="AR53" s="226"/>
      <c r="AS53" s="226"/>
      <c r="AT53" s="1">
        <v>14</v>
      </c>
      <c r="AU53" s="2" t="s">
        <v>13</v>
      </c>
      <c r="AV53" s="4">
        <v>72.49</v>
      </c>
      <c r="AW53" s="4">
        <v>105.53</v>
      </c>
      <c r="AX53" s="4">
        <f t="shared" si="18"/>
        <v>178.01999999999998</v>
      </c>
    </row>
    <row r="54" spans="1:50" ht="15" customHeight="1" hidden="1">
      <c r="A54" s="1">
        <v>15</v>
      </c>
      <c r="B54" s="2" t="s">
        <v>14</v>
      </c>
      <c r="C54" s="242">
        <f t="shared" si="13"/>
        <v>205.08999999999997</v>
      </c>
      <c r="D54" s="243"/>
      <c r="E54" s="256">
        <v>833.42</v>
      </c>
      <c r="F54" s="256">
        <v>94.16</v>
      </c>
      <c r="G54" s="256">
        <v>477.21</v>
      </c>
      <c r="H54" s="256">
        <v>99.34</v>
      </c>
      <c r="I54" s="256">
        <v>266.19</v>
      </c>
      <c r="J54" s="244">
        <v>110.46</v>
      </c>
      <c r="K54" s="245">
        <f t="shared" si="17"/>
        <v>64.51</v>
      </c>
      <c r="L54" s="245"/>
      <c r="M54" s="245">
        <v>64.51</v>
      </c>
      <c r="N54" s="245"/>
      <c r="O54" s="245"/>
      <c r="P54" s="245"/>
      <c r="Q54" s="245"/>
      <c r="R54" s="245"/>
      <c r="S54" s="244"/>
      <c r="T54" s="245"/>
      <c r="U54" s="245"/>
      <c r="V54" s="245"/>
      <c r="W54" s="245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  <c r="AH54" s="245"/>
      <c r="AI54" s="245"/>
      <c r="AJ54" s="245"/>
      <c r="AK54" s="245"/>
      <c r="AL54" s="245"/>
      <c r="AM54" s="245"/>
      <c r="AN54" s="245"/>
      <c r="AO54" s="245">
        <f t="shared" si="14"/>
        <v>1945.29</v>
      </c>
      <c r="AP54" s="245">
        <f t="shared" si="15"/>
        <v>2150.38</v>
      </c>
      <c r="AQ54" s="245">
        <f t="shared" si="16"/>
        <v>9.537384090253815</v>
      </c>
      <c r="AR54" s="226"/>
      <c r="AS54" s="226"/>
      <c r="AT54" s="1">
        <v>15</v>
      </c>
      <c r="AU54" s="2" t="s">
        <v>14</v>
      </c>
      <c r="AV54" s="4">
        <v>85.85</v>
      </c>
      <c r="AW54" s="4">
        <v>119.24</v>
      </c>
      <c r="AX54" s="4">
        <f t="shared" si="18"/>
        <v>205.08999999999997</v>
      </c>
    </row>
    <row r="55" spans="1:50" ht="15" customHeight="1" hidden="1">
      <c r="A55" s="1">
        <v>16</v>
      </c>
      <c r="B55" s="2" t="s">
        <v>15</v>
      </c>
      <c r="C55" s="242">
        <f>AX55</f>
        <v>332.85</v>
      </c>
      <c r="D55" s="243"/>
      <c r="E55" s="259">
        <v>1087.62</v>
      </c>
      <c r="F55" s="256">
        <v>204.49</v>
      </c>
      <c r="G55" s="256">
        <v>585.06</v>
      </c>
      <c r="H55" s="256">
        <v>246.88</v>
      </c>
      <c r="I55" s="256">
        <v>108.91</v>
      </c>
      <c r="J55" s="244">
        <v>586.85</v>
      </c>
      <c r="K55" s="245">
        <f t="shared" si="17"/>
        <v>31.33</v>
      </c>
      <c r="L55" s="245"/>
      <c r="M55" s="245">
        <v>31.33</v>
      </c>
      <c r="N55" s="245"/>
      <c r="O55" s="245"/>
      <c r="P55" s="245"/>
      <c r="Q55" s="245"/>
      <c r="R55" s="245"/>
      <c r="S55" s="244"/>
      <c r="T55" s="245"/>
      <c r="U55" s="245"/>
      <c r="V55" s="245"/>
      <c r="W55" s="245"/>
      <c r="X55" s="245"/>
      <c r="Y55" s="245"/>
      <c r="Z55" s="245"/>
      <c r="AA55" s="245"/>
      <c r="AB55" s="245"/>
      <c r="AC55" s="245"/>
      <c r="AD55" s="245"/>
      <c r="AE55" s="245"/>
      <c r="AF55" s="245"/>
      <c r="AG55" s="245"/>
      <c r="AH55" s="245"/>
      <c r="AI55" s="245"/>
      <c r="AJ55" s="245"/>
      <c r="AK55" s="245"/>
      <c r="AL55" s="245"/>
      <c r="AM55" s="245"/>
      <c r="AN55" s="245"/>
      <c r="AO55" s="245">
        <f t="shared" si="14"/>
        <v>2851.1399999999994</v>
      </c>
      <c r="AP55" s="245">
        <f t="shared" si="15"/>
        <v>3183.9899999999993</v>
      </c>
      <c r="AQ55" s="245">
        <f t="shared" si="16"/>
        <v>10.453864490780438</v>
      </c>
      <c r="AR55" s="226"/>
      <c r="AS55" s="226"/>
      <c r="AT55" s="1">
        <v>16</v>
      </c>
      <c r="AU55" s="2" t="s">
        <v>15</v>
      </c>
      <c r="AV55" s="4">
        <v>113.45</v>
      </c>
      <c r="AW55" s="4">
        <v>219.4</v>
      </c>
      <c r="AX55" s="4">
        <f t="shared" si="18"/>
        <v>332.85</v>
      </c>
    </row>
    <row r="56" spans="1:50" ht="15" customHeight="1" hidden="1">
      <c r="A56" s="1">
        <v>17</v>
      </c>
      <c r="B56" s="2" t="s">
        <v>79</v>
      </c>
      <c r="C56" s="242">
        <f aca="true" t="shared" si="19" ref="C56:C64">AX56</f>
        <v>275.25</v>
      </c>
      <c r="D56" s="243"/>
      <c r="E56" s="256">
        <v>756.2</v>
      </c>
      <c r="F56" s="256">
        <v>141.81</v>
      </c>
      <c r="G56" s="256">
        <v>752.64</v>
      </c>
      <c r="H56" s="256">
        <v>137.9</v>
      </c>
      <c r="I56" s="256">
        <v>357.89</v>
      </c>
      <c r="J56" s="244">
        <v>103.26</v>
      </c>
      <c r="K56" s="245">
        <f t="shared" si="17"/>
        <v>178.20000000000002</v>
      </c>
      <c r="L56" s="245">
        <v>177.21</v>
      </c>
      <c r="M56" s="245">
        <v>0.99</v>
      </c>
      <c r="N56" s="245"/>
      <c r="O56" s="245"/>
      <c r="P56" s="245"/>
      <c r="Q56" s="245"/>
      <c r="R56" s="245"/>
      <c r="S56" s="244"/>
      <c r="T56" s="245"/>
      <c r="U56" s="245"/>
      <c r="V56" s="245"/>
      <c r="W56" s="245"/>
      <c r="X56" s="245"/>
      <c r="Y56" s="245"/>
      <c r="Z56" s="245"/>
      <c r="AA56" s="245"/>
      <c r="AB56" s="245"/>
      <c r="AC56" s="245"/>
      <c r="AD56" s="245"/>
      <c r="AE56" s="245"/>
      <c r="AF56" s="245"/>
      <c r="AG56" s="245"/>
      <c r="AH56" s="245"/>
      <c r="AI56" s="245"/>
      <c r="AJ56" s="245"/>
      <c r="AK56" s="245"/>
      <c r="AL56" s="245"/>
      <c r="AM56" s="245"/>
      <c r="AN56" s="245"/>
      <c r="AO56" s="245">
        <f t="shared" si="14"/>
        <v>2427.9</v>
      </c>
      <c r="AP56" s="245">
        <f t="shared" si="15"/>
        <v>2703.15</v>
      </c>
      <c r="AQ56" s="245">
        <f t="shared" si="16"/>
        <v>10.182564785527996</v>
      </c>
      <c r="AR56" s="226"/>
      <c r="AS56" s="226"/>
      <c r="AT56" s="1">
        <v>17</v>
      </c>
      <c r="AU56" s="2" t="s">
        <v>79</v>
      </c>
      <c r="AV56" s="4">
        <v>89.74</v>
      </c>
      <c r="AW56" s="4">
        <v>185.51</v>
      </c>
      <c r="AX56" s="4">
        <f t="shared" si="18"/>
        <v>275.25</v>
      </c>
    </row>
    <row r="57" spans="1:50" ht="15" customHeight="1" hidden="1">
      <c r="A57" s="1">
        <v>18</v>
      </c>
      <c r="B57" s="2" t="s">
        <v>80</v>
      </c>
      <c r="C57" s="242">
        <f t="shared" si="19"/>
        <v>186.38</v>
      </c>
      <c r="D57" s="243"/>
      <c r="E57" s="256">
        <v>359.29</v>
      </c>
      <c r="F57" s="256">
        <v>90.22</v>
      </c>
      <c r="G57" s="256">
        <v>427.87</v>
      </c>
      <c r="H57" s="256">
        <v>131.96</v>
      </c>
      <c r="I57" s="256">
        <v>519.35</v>
      </c>
      <c r="J57" s="244">
        <v>11.2</v>
      </c>
      <c r="K57" s="245">
        <f t="shared" si="17"/>
        <v>129.59</v>
      </c>
      <c r="L57" s="245">
        <v>122.2</v>
      </c>
      <c r="M57" s="245">
        <v>7.39</v>
      </c>
      <c r="N57" s="245"/>
      <c r="O57" s="245"/>
      <c r="P57" s="245"/>
      <c r="Q57" s="245"/>
      <c r="R57" s="245"/>
      <c r="S57" s="244"/>
      <c r="T57" s="245"/>
      <c r="U57" s="245"/>
      <c r="V57" s="245"/>
      <c r="W57" s="245"/>
      <c r="X57" s="245"/>
      <c r="Y57" s="245"/>
      <c r="Z57" s="245"/>
      <c r="AA57" s="245"/>
      <c r="AB57" s="245"/>
      <c r="AC57" s="245"/>
      <c r="AD57" s="245"/>
      <c r="AE57" s="245"/>
      <c r="AF57" s="245"/>
      <c r="AG57" s="245"/>
      <c r="AH57" s="245"/>
      <c r="AI57" s="245"/>
      <c r="AJ57" s="245"/>
      <c r="AK57" s="245"/>
      <c r="AL57" s="245"/>
      <c r="AM57" s="245"/>
      <c r="AN57" s="245"/>
      <c r="AO57" s="245">
        <f t="shared" si="14"/>
        <v>1669.48</v>
      </c>
      <c r="AP57" s="245">
        <f t="shared" si="15"/>
        <v>1855.8600000000001</v>
      </c>
      <c r="AQ57" s="245">
        <f t="shared" si="16"/>
        <v>10.042783399609883</v>
      </c>
      <c r="AR57" s="226"/>
      <c r="AS57" s="226"/>
      <c r="AT57" s="1">
        <v>18</v>
      </c>
      <c r="AU57" s="2" t="s">
        <v>80</v>
      </c>
      <c r="AV57" s="4">
        <v>77.36</v>
      </c>
      <c r="AW57" s="4">
        <v>109.02</v>
      </c>
      <c r="AX57" s="4">
        <f t="shared" si="18"/>
        <v>186.38</v>
      </c>
    </row>
    <row r="58" spans="1:50" ht="15" customHeight="1" hidden="1">
      <c r="A58" s="1">
        <v>19</v>
      </c>
      <c r="B58" s="2" t="s">
        <v>16</v>
      </c>
      <c r="C58" s="242">
        <f t="shared" si="19"/>
        <v>94.7</v>
      </c>
      <c r="D58" s="243"/>
      <c r="E58" s="256">
        <v>410.74</v>
      </c>
      <c r="F58" s="256">
        <v>164.33</v>
      </c>
      <c r="G58" s="256">
        <v>468.13</v>
      </c>
      <c r="H58" s="256">
        <v>45.29</v>
      </c>
      <c r="I58" s="256">
        <v>88.51</v>
      </c>
      <c r="J58" s="244">
        <v>72.53</v>
      </c>
      <c r="K58" s="245">
        <f t="shared" si="17"/>
        <v>45.74</v>
      </c>
      <c r="L58" s="245"/>
      <c r="M58" s="245">
        <v>45.74</v>
      </c>
      <c r="N58" s="245"/>
      <c r="O58" s="245"/>
      <c r="P58" s="245"/>
      <c r="Q58" s="245"/>
      <c r="R58" s="245"/>
      <c r="S58" s="244"/>
      <c r="T58" s="245"/>
      <c r="U58" s="245"/>
      <c r="V58" s="245"/>
      <c r="W58" s="245"/>
      <c r="X58" s="245"/>
      <c r="Y58" s="245"/>
      <c r="Z58" s="245"/>
      <c r="AA58" s="245"/>
      <c r="AB58" s="245"/>
      <c r="AC58" s="245"/>
      <c r="AD58" s="245"/>
      <c r="AE58" s="245"/>
      <c r="AF58" s="245"/>
      <c r="AG58" s="245"/>
      <c r="AH58" s="245"/>
      <c r="AI58" s="245"/>
      <c r="AJ58" s="245"/>
      <c r="AK58" s="245"/>
      <c r="AL58" s="245"/>
      <c r="AM58" s="245"/>
      <c r="AN58" s="245"/>
      <c r="AO58" s="245">
        <f t="shared" si="14"/>
        <v>1295.27</v>
      </c>
      <c r="AP58" s="245">
        <f t="shared" si="15"/>
        <v>1389.97</v>
      </c>
      <c r="AQ58" s="245">
        <f t="shared" si="16"/>
        <v>6.813096685539975</v>
      </c>
      <c r="AR58" s="226"/>
      <c r="AS58" s="226"/>
      <c r="AT58" s="1">
        <v>19</v>
      </c>
      <c r="AU58" s="2" t="s">
        <v>16</v>
      </c>
      <c r="AV58" s="4">
        <v>24.87</v>
      </c>
      <c r="AW58" s="4">
        <v>69.83</v>
      </c>
      <c r="AX58" s="4">
        <f t="shared" si="18"/>
        <v>94.7</v>
      </c>
    </row>
    <row r="59" spans="1:50" ht="15" customHeight="1" hidden="1">
      <c r="A59" s="1">
        <v>20</v>
      </c>
      <c r="B59" s="2" t="s">
        <v>17</v>
      </c>
      <c r="C59" s="242">
        <f t="shared" si="19"/>
        <v>94.78</v>
      </c>
      <c r="D59" s="243"/>
      <c r="E59" s="256">
        <v>294.62</v>
      </c>
      <c r="F59" s="256">
        <v>121.72</v>
      </c>
      <c r="G59" s="256">
        <v>323.63</v>
      </c>
      <c r="H59" s="256">
        <v>119.43</v>
      </c>
      <c r="I59" s="256">
        <v>57.3</v>
      </c>
      <c r="J59" s="244">
        <v>62.94</v>
      </c>
      <c r="K59" s="245">
        <f t="shared" si="17"/>
        <v>20.73</v>
      </c>
      <c r="L59" s="245"/>
      <c r="M59" s="245">
        <v>20.73</v>
      </c>
      <c r="N59" s="245"/>
      <c r="O59" s="245"/>
      <c r="P59" s="245"/>
      <c r="Q59" s="245"/>
      <c r="R59" s="245"/>
      <c r="S59" s="244"/>
      <c r="T59" s="245"/>
      <c r="U59" s="245"/>
      <c r="V59" s="245"/>
      <c r="W59" s="245"/>
      <c r="X59" s="245"/>
      <c r="Y59" s="245"/>
      <c r="Z59" s="245"/>
      <c r="AA59" s="245"/>
      <c r="AB59" s="245"/>
      <c r="AC59" s="245"/>
      <c r="AD59" s="245"/>
      <c r="AE59" s="245"/>
      <c r="AF59" s="245"/>
      <c r="AG59" s="245"/>
      <c r="AH59" s="245"/>
      <c r="AI59" s="245"/>
      <c r="AJ59" s="245"/>
      <c r="AK59" s="245"/>
      <c r="AL59" s="245"/>
      <c r="AM59" s="245"/>
      <c r="AN59" s="245"/>
      <c r="AO59" s="245">
        <f t="shared" si="14"/>
        <v>1000.3700000000001</v>
      </c>
      <c r="AP59" s="245">
        <f t="shared" si="15"/>
        <v>1095.15</v>
      </c>
      <c r="AQ59" s="245">
        <f t="shared" si="16"/>
        <v>8.65452221156919</v>
      </c>
      <c r="AR59" s="226"/>
      <c r="AS59" s="226"/>
      <c r="AT59" s="1">
        <v>20</v>
      </c>
      <c r="AU59" s="2" t="s">
        <v>17</v>
      </c>
      <c r="AV59" s="4">
        <v>64.96</v>
      </c>
      <c r="AW59" s="4">
        <v>29.82</v>
      </c>
      <c r="AX59" s="4">
        <f t="shared" si="18"/>
        <v>94.78</v>
      </c>
    </row>
    <row r="60" spans="1:50" ht="15" customHeight="1" hidden="1">
      <c r="A60" s="1">
        <v>21</v>
      </c>
      <c r="B60" s="2" t="s">
        <v>18</v>
      </c>
      <c r="C60" s="242">
        <f t="shared" si="19"/>
        <v>121.08</v>
      </c>
      <c r="D60" s="243"/>
      <c r="E60" s="256"/>
      <c r="F60" s="256"/>
      <c r="G60" s="256">
        <v>219.95</v>
      </c>
      <c r="H60" s="256"/>
      <c r="I60" s="256"/>
      <c r="J60" s="249">
        <v>160.93</v>
      </c>
      <c r="K60" s="245">
        <f t="shared" si="17"/>
        <v>0</v>
      </c>
      <c r="L60" s="245"/>
      <c r="M60" s="245"/>
      <c r="N60" s="245"/>
      <c r="O60" s="245"/>
      <c r="P60" s="245"/>
      <c r="Q60" s="245"/>
      <c r="R60" s="245"/>
      <c r="S60" s="244"/>
      <c r="T60" s="245"/>
      <c r="U60" s="245"/>
      <c r="V60" s="245"/>
      <c r="W60" s="245"/>
      <c r="X60" s="245"/>
      <c r="Y60" s="245"/>
      <c r="Z60" s="245"/>
      <c r="AA60" s="245"/>
      <c r="AB60" s="245"/>
      <c r="AC60" s="245"/>
      <c r="AD60" s="245"/>
      <c r="AE60" s="245"/>
      <c r="AF60" s="245"/>
      <c r="AG60" s="245"/>
      <c r="AH60" s="245"/>
      <c r="AI60" s="245"/>
      <c r="AJ60" s="245"/>
      <c r="AK60" s="245"/>
      <c r="AL60" s="245"/>
      <c r="AM60" s="245"/>
      <c r="AN60" s="245"/>
      <c r="AO60" s="245">
        <f t="shared" si="14"/>
        <v>380.88</v>
      </c>
      <c r="AP60" s="245">
        <f t="shared" si="15"/>
        <v>501.96</v>
      </c>
      <c r="AQ60" s="245">
        <f t="shared" si="16"/>
        <v>24.12144393975616</v>
      </c>
      <c r="AR60" s="226"/>
      <c r="AS60" s="226"/>
      <c r="AT60" s="1">
        <v>21</v>
      </c>
      <c r="AU60" s="2" t="s">
        <v>18</v>
      </c>
      <c r="AV60" s="4">
        <v>72.89</v>
      </c>
      <c r="AW60" s="4">
        <v>48.19</v>
      </c>
      <c r="AX60" s="4">
        <f t="shared" si="18"/>
        <v>121.08</v>
      </c>
    </row>
    <row r="61" spans="1:50" ht="15" customHeight="1" hidden="1">
      <c r="A61" s="1">
        <v>22</v>
      </c>
      <c r="B61" s="2" t="s">
        <v>19</v>
      </c>
      <c r="C61" s="242">
        <f t="shared" si="19"/>
        <v>1525.3</v>
      </c>
      <c r="D61" s="243"/>
      <c r="E61" s="256">
        <v>2352.11</v>
      </c>
      <c r="F61" s="256">
        <v>882.96</v>
      </c>
      <c r="G61" s="256">
        <v>1386.8</v>
      </c>
      <c r="H61" s="256">
        <v>766.99</v>
      </c>
      <c r="I61" s="256">
        <v>866.39</v>
      </c>
      <c r="J61" s="244">
        <v>286.83</v>
      </c>
      <c r="K61" s="245">
        <f t="shared" si="17"/>
        <v>322.58</v>
      </c>
      <c r="L61" s="245">
        <v>49.44</v>
      </c>
      <c r="M61" s="245"/>
      <c r="N61" s="245">
        <v>51.33</v>
      </c>
      <c r="O61" s="245">
        <v>56.53</v>
      </c>
      <c r="P61" s="245"/>
      <c r="Q61" s="245">
        <v>65.08</v>
      </c>
      <c r="R61" s="245">
        <v>14.07</v>
      </c>
      <c r="S61" s="244"/>
      <c r="T61" s="245">
        <v>1.04</v>
      </c>
      <c r="U61" s="245"/>
      <c r="V61" s="245"/>
      <c r="W61" s="245"/>
      <c r="X61" s="245"/>
      <c r="Y61" s="245"/>
      <c r="Z61" s="245"/>
      <c r="AA61" s="245">
        <v>72.87</v>
      </c>
      <c r="AB61" s="245">
        <v>3.08</v>
      </c>
      <c r="AC61" s="245">
        <v>5.91</v>
      </c>
      <c r="AD61" s="245"/>
      <c r="AE61" s="245"/>
      <c r="AF61" s="245"/>
      <c r="AG61" s="258">
        <v>0.02</v>
      </c>
      <c r="AH61" s="245"/>
      <c r="AI61" s="245">
        <v>3.21</v>
      </c>
      <c r="AJ61" s="245"/>
      <c r="AK61" s="245"/>
      <c r="AL61" s="245"/>
      <c r="AM61" s="245"/>
      <c r="AN61" s="245"/>
      <c r="AO61" s="245">
        <f t="shared" si="14"/>
        <v>6864.66</v>
      </c>
      <c r="AP61" s="245">
        <f t="shared" si="15"/>
        <v>8389.96</v>
      </c>
      <c r="AQ61" s="245">
        <f t="shared" si="16"/>
        <v>18.180062837009952</v>
      </c>
      <c r="AR61" s="226"/>
      <c r="AS61" s="226"/>
      <c r="AT61" s="1">
        <v>22</v>
      </c>
      <c r="AU61" s="2" t="s">
        <v>19</v>
      </c>
      <c r="AV61" s="4"/>
      <c r="AW61" s="4"/>
      <c r="AX61" s="4">
        <v>1525.3</v>
      </c>
    </row>
    <row r="62" spans="1:50" ht="15" customHeight="1" hidden="1">
      <c r="A62" s="1">
        <v>23</v>
      </c>
      <c r="B62" s="2" t="s">
        <v>20</v>
      </c>
      <c r="C62" s="242">
        <f t="shared" si="19"/>
        <v>345.48</v>
      </c>
      <c r="D62" s="243"/>
      <c r="E62" s="256">
        <v>896.31</v>
      </c>
      <c r="F62" s="256">
        <v>336.82</v>
      </c>
      <c r="G62" s="256">
        <v>381.01</v>
      </c>
      <c r="H62" s="256">
        <v>396.92</v>
      </c>
      <c r="I62" s="256">
        <v>120.46</v>
      </c>
      <c r="J62" s="244">
        <v>259.14</v>
      </c>
      <c r="K62" s="245">
        <f t="shared" si="17"/>
        <v>683.9699999999999</v>
      </c>
      <c r="L62" s="245">
        <v>7.9</v>
      </c>
      <c r="M62" s="245"/>
      <c r="N62" s="245">
        <v>89.32</v>
      </c>
      <c r="O62" s="245">
        <v>2.86</v>
      </c>
      <c r="P62" s="245"/>
      <c r="Q62" s="245"/>
      <c r="R62" s="245"/>
      <c r="S62" s="244"/>
      <c r="T62" s="245">
        <v>179.19</v>
      </c>
      <c r="U62" s="258">
        <v>134.63</v>
      </c>
      <c r="V62" s="245">
        <v>39.99</v>
      </c>
      <c r="W62" s="245">
        <v>0.23</v>
      </c>
      <c r="X62" s="245"/>
      <c r="Y62" s="245">
        <v>162.12</v>
      </c>
      <c r="Z62" s="245">
        <v>55.78</v>
      </c>
      <c r="AA62" s="245"/>
      <c r="AB62" s="245"/>
      <c r="AC62" s="245">
        <v>11.92</v>
      </c>
      <c r="AD62" s="245"/>
      <c r="AE62" s="245"/>
      <c r="AF62" s="245"/>
      <c r="AG62" s="245"/>
      <c r="AH62" s="245"/>
      <c r="AI62" s="245">
        <v>0.03</v>
      </c>
      <c r="AJ62" s="245"/>
      <c r="AK62" s="245"/>
      <c r="AL62" s="245"/>
      <c r="AM62" s="245"/>
      <c r="AN62" s="245"/>
      <c r="AO62" s="245">
        <f t="shared" si="14"/>
        <v>3074.6299999999997</v>
      </c>
      <c r="AP62" s="245">
        <f t="shared" si="15"/>
        <v>3420.1099999999997</v>
      </c>
      <c r="AQ62" s="245">
        <f t="shared" si="16"/>
        <v>10.101429486186118</v>
      </c>
      <c r="AR62" s="226"/>
      <c r="AS62" s="226"/>
      <c r="AT62" s="1">
        <v>23</v>
      </c>
      <c r="AU62" s="2" t="s">
        <v>20</v>
      </c>
      <c r="AV62" s="4"/>
      <c r="AW62" s="4"/>
      <c r="AX62" s="4">
        <v>345.48</v>
      </c>
    </row>
    <row r="63" spans="1:50" ht="15" customHeight="1" hidden="1">
      <c r="A63" s="1">
        <v>24</v>
      </c>
      <c r="B63" s="2" t="s">
        <v>21</v>
      </c>
      <c r="C63" s="242">
        <f t="shared" si="19"/>
        <v>1033.99</v>
      </c>
      <c r="D63" s="243"/>
      <c r="E63" s="256">
        <v>588.48</v>
      </c>
      <c r="F63" s="256"/>
      <c r="G63" s="256">
        <v>39.08</v>
      </c>
      <c r="H63" s="256">
        <v>267.37</v>
      </c>
      <c r="I63" s="256">
        <v>10.25</v>
      </c>
      <c r="J63" s="244">
        <v>22.31</v>
      </c>
      <c r="K63" s="245">
        <f t="shared" si="17"/>
        <v>101.19</v>
      </c>
      <c r="L63" s="245"/>
      <c r="M63" s="245"/>
      <c r="N63" s="245">
        <v>36.89</v>
      </c>
      <c r="O63" s="245">
        <v>22.1</v>
      </c>
      <c r="P63" s="245"/>
      <c r="Q63" s="258">
        <v>3.14</v>
      </c>
      <c r="R63" s="245">
        <v>3.03</v>
      </c>
      <c r="S63" s="244"/>
      <c r="T63" s="245">
        <v>4.22</v>
      </c>
      <c r="U63" s="245"/>
      <c r="V63" s="245">
        <v>0.1</v>
      </c>
      <c r="W63" s="245">
        <v>10.61</v>
      </c>
      <c r="X63" s="245"/>
      <c r="Y63" s="245">
        <v>4.67</v>
      </c>
      <c r="Z63" s="245"/>
      <c r="AA63" s="245">
        <v>0.37</v>
      </c>
      <c r="AB63" s="245">
        <v>0.32</v>
      </c>
      <c r="AC63" s="245"/>
      <c r="AD63" s="258">
        <v>0.62</v>
      </c>
      <c r="AE63" s="245"/>
      <c r="AF63" s="258">
        <v>0.12</v>
      </c>
      <c r="AG63" s="245"/>
      <c r="AH63" s="245">
        <v>0.13</v>
      </c>
      <c r="AI63" s="245">
        <v>14.87</v>
      </c>
      <c r="AJ63" s="245"/>
      <c r="AK63" s="245"/>
      <c r="AL63" s="245"/>
      <c r="AM63" s="245"/>
      <c r="AN63" s="245"/>
      <c r="AO63" s="245">
        <f t="shared" si="14"/>
        <v>1028.68</v>
      </c>
      <c r="AP63" s="245">
        <f t="shared" si="15"/>
        <v>2062.67</v>
      </c>
      <c r="AQ63" s="245">
        <f t="shared" si="16"/>
        <v>50.12871666335381</v>
      </c>
      <c r="AR63" s="226"/>
      <c r="AS63" s="226"/>
      <c r="AT63" s="1">
        <v>24</v>
      </c>
      <c r="AU63" s="2" t="s">
        <v>21</v>
      </c>
      <c r="AV63" s="4"/>
      <c r="AW63" s="4"/>
      <c r="AX63" s="4">
        <v>1033.99</v>
      </c>
    </row>
    <row r="64" spans="1:50" ht="15" customHeight="1" hidden="1">
      <c r="A64" s="1">
        <v>25</v>
      </c>
      <c r="B64" s="2" t="s">
        <v>23</v>
      </c>
      <c r="C64" s="242">
        <f t="shared" si="19"/>
        <v>8.05</v>
      </c>
      <c r="D64" s="243"/>
      <c r="E64" s="256">
        <v>19.86</v>
      </c>
      <c r="F64" s="256"/>
      <c r="G64" s="256"/>
      <c r="H64" s="256">
        <v>11.04</v>
      </c>
      <c r="I64" s="256"/>
      <c r="J64" s="244"/>
      <c r="K64" s="245">
        <f t="shared" si="17"/>
        <v>32.15</v>
      </c>
      <c r="L64" s="245"/>
      <c r="M64" s="245"/>
      <c r="N64" s="245"/>
      <c r="O64" s="245"/>
      <c r="P64" s="245"/>
      <c r="Q64" s="245"/>
      <c r="R64" s="245"/>
      <c r="S64" s="244"/>
      <c r="T64" s="245"/>
      <c r="U64" s="245"/>
      <c r="V64" s="245"/>
      <c r="W64" s="245"/>
      <c r="X64" s="245"/>
      <c r="Y64" s="245"/>
      <c r="Z64" s="245"/>
      <c r="AA64" s="245"/>
      <c r="AB64" s="245">
        <v>25.72</v>
      </c>
      <c r="AC64" s="245"/>
      <c r="AD64" s="245"/>
      <c r="AE64" s="258">
        <v>3.76</v>
      </c>
      <c r="AF64" s="245"/>
      <c r="AG64" s="245"/>
      <c r="AH64" s="245"/>
      <c r="AI64" s="245"/>
      <c r="AJ64" s="258">
        <v>2.52</v>
      </c>
      <c r="AK64" s="258">
        <v>0.15</v>
      </c>
      <c r="AL64" s="258"/>
      <c r="AM64" s="258"/>
      <c r="AN64" s="258"/>
      <c r="AO64" s="245">
        <f t="shared" si="14"/>
        <v>63.05</v>
      </c>
      <c r="AP64" s="245">
        <f t="shared" si="15"/>
        <v>71.1</v>
      </c>
      <c r="AQ64" s="245">
        <f t="shared" si="16"/>
        <v>11.322081575246134</v>
      </c>
      <c r="AR64" s="226"/>
      <c r="AS64" s="226"/>
      <c r="AT64" s="1">
        <v>25</v>
      </c>
      <c r="AU64" s="2" t="s">
        <v>23</v>
      </c>
      <c r="AV64" s="4"/>
      <c r="AW64" s="4"/>
      <c r="AX64" s="4">
        <v>8.05</v>
      </c>
    </row>
    <row r="65" spans="1:50" ht="15" customHeight="1" hidden="1">
      <c r="A65" s="1"/>
      <c r="B65" s="227" t="s">
        <v>0</v>
      </c>
      <c r="C65" s="250">
        <f>SUM(C40:C64)</f>
        <v>7120.350000000001</v>
      </c>
      <c r="D65" s="251">
        <f>SUM(D40:D63)</f>
        <v>0</v>
      </c>
      <c r="E65" s="252">
        <f aca="true" t="shared" si="20" ref="E65:AP65">SUM(E40:E64)</f>
        <v>14708.580000000004</v>
      </c>
      <c r="F65" s="252">
        <f t="shared" si="20"/>
        <v>3786.02</v>
      </c>
      <c r="G65" s="252">
        <f t="shared" si="20"/>
        <v>9460.130000000001</v>
      </c>
      <c r="H65" s="252">
        <f t="shared" si="20"/>
        <v>3933.9400000000005</v>
      </c>
      <c r="I65" s="252">
        <f t="shared" si="20"/>
        <v>6983.22</v>
      </c>
      <c r="J65" s="250">
        <f t="shared" si="20"/>
        <v>2420.63</v>
      </c>
      <c r="K65" s="252">
        <f t="shared" si="20"/>
        <v>2216.35</v>
      </c>
      <c r="L65" s="252">
        <f t="shared" si="20"/>
        <v>768.43</v>
      </c>
      <c r="M65" s="252">
        <f t="shared" si="20"/>
        <v>250.32999999999996</v>
      </c>
      <c r="N65" s="252">
        <f t="shared" si="20"/>
        <v>177.53999999999996</v>
      </c>
      <c r="O65" s="252">
        <f t="shared" si="20"/>
        <v>81.49000000000001</v>
      </c>
      <c r="P65" s="252">
        <f t="shared" si="20"/>
        <v>0</v>
      </c>
      <c r="Q65" s="252">
        <f t="shared" si="20"/>
        <v>68.22</v>
      </c>
      <c r="R65" s="252">
        <f t="shared" si="20"/>
        <v>17.1</v>
      </c>
      <c r="S65" s="250">
        <f t="shared" si="20"/>
        <v>52.67</v>
      </c>
      <c r="T65" s="252">
        <f t="shared" si="20"/>
        <v>184.45</v>
      </c>
      <c r="U65" s="252">
        <f t="shared" si="20"/>
        <v>134.63</v>
      </c>
      <c r="V65" s="252">
        <f t="shared" si="20"/>
        <v>40.09</v>
      </c>
      <c r="W65" s="252">
        <f t="shared" si="20"/>
        <v>10.84</v>
      </c>
      <c r="X65" s="252">
        <f t="shared" si="20"/>
        <v>62.37</v>
      </c>
      <c r="Y65" s="252">
        <f t="shared" si="20"/>
        <v>166.79</v>
      </c>
      <c r="Z65" s="252">
        <f t="shared" si="20"/>
        <v>55.78</v>
      </c>
      <c r="AA65" s="252">
        <f t="shared" si="20"/>
        <v>73.24000000000001</v>
      </c>
      <c r="AB65" s="252">
        <f t="shared" si="20"/>
        <v>29.119999999999997</v>
      </c>
      <c r="AC65" s="252">
        <f t="shared" si="20"/>
        <v>17.83</v>
      </c>
      <c r="AD65" s="252">
        <f t="shared" si="20"/>
        <v>0.62</v>
      </c>
      <c r="AE65" s="252">
        <f t="shared" si="20"/>
        <v>3.76</v>
      </c>
      <c r="AF65" s="252">
        <f t="shared" si="20"/>
        <v>0.12</v>
      </c>
      <c r="AG65" s="252">
        <f t="shared" si="20"/>
        <v>0.02</v>
      </c>
      <c r="AH65" s="252">
        <f t="shared" si="20"/>
        <v>0.13</v>
      </c>
      <c r="AI65" s="252">
        <f t="shared" si="20"/>
        <v>18.11</v>
      </c>
      <c r="AJ65" s="252">
        <f t="shared" si="20"/>
        <v>2.52</v>
      </c>
      <c r="AK65" s="252">
        <f t="shared" si="20"/>
        <v>0.15</v>
      </c>
      <c r="AL65" s="252"/>
      <c r="AM65" s="252"/>
      <c r="AN65" s="252"/>
      <c r="AO65" s="252">
        <f t="shared" si="20"/>
        <v>43508.869999999995</v>
      </c>
      <c r="AP65" s="252">
        <f t="shared" si="20"/>
        <v>50629.219999999994</v>
      </c>
      <c r="AQ65" s="252">
        <f t="shared" si="16"/>
        <v>14.063716565256193</v>
      </c>
      <c r="AR65" s="230"/>
      <c r="AS65" s="230"/>
      <c r="AT65" s="1"/>
      <c r="AU65" s="227" t="s">
        <v>0</v>
      </c>
      <c r="AV65" s="229">
        <f>SUM(AV40:AV63)</f>
        <v>1725.6799999999998</v>
      </c>
      <c r="AW65" s="229">
        <f>SUM(AW40:AW63)</f>
        <v>2481.85</v>
      </c>
      <c r="AX65" s="228">
        <f>SUM(AX40:AX64)</f>
        <v>7120.350000000001</v>
      </c>
    </row>
    <row r="66" spans="1:50" ht="15" customHeight="1" hidden="1">
      <c r="A66" s="231">
        <v>26</v>
      </c>
      <c r="B66" s="232" t="s">
        <v>120</v>
      </c>
      <c r="C66" s="254"/>
      <c r="D66" s="255">
        <v>522.41</v>
      </c>
      <c r="E66" s="260">
        <v>1181.15</v>
      </c>
      <c r="F66" s="260">
        <v>273.38</v>
      </c>
      <c r="G66" s="260">
        <v>962.69</v>
      </c>
      <c r="H66" s="260">
        <v>230.97</v>
      </c>
      <c r="I66" s="260">
        <v>388.04</v>
      </c>
      <c r="J66" s="244">
        <v>119.15</v>
      </c>
      <c r="K66" s="245">
        <f>L66+M66+N66+O66+P66+Q66+R66+S66+T66+U66+V66+W66+X66+Y66+Z66+AA66+AB66+AC66+AD66+AE66+AF66+AG66+AH66+AI66+AJ66+AK66</f>
        <v>38.13</v>
      </c>
      <c r="L66" s="245"/>
      <c r="M66" s="245">
        <v>38.13</v>
      </c>
      <c r="N66" s="245"/>
      <c r="O66" s="245"/>
      <c r="P66" s="245"/>
      <c r="Q66" s="245"/>
      <c r="R66" s="245"/>
      <c r="S66" s="244"/>
      <c r="T66" s="245"/>
      <c r="U66" s="245"/>
      <c r="V66" s="245"/>
      <c r="W66" s="245"/>
      <c r="X66" s="245"/>
      <c r="Y66" s="245"/>
      <c r="Z66" s="245"/>
      <c r="AA66" s="245"/>
      <c r="AB66" s="245"/>
      <c r="AC66" s="245"/>
      <c r="AD66" s="245"/>
      <c r="AE66" s="245"/>
      <c r="AF66" s="245"/>
      <c r="AG66" s="245"/>
      <c r="AH66" s="245"/>
      <c r="AI66" s="245"/>
      <c r="AJ66" s="245"/>
      <c r="AK66" s="245"/>
      <c r="AL66" s="245"/>
      <c r="AM66" s="245"/>
      <c r="AN66" s="245"/>
      <c r="AO66" s="245">
        <f>E66+F66+G66+H66+I66+J66+K66</f>
        <v>3193.51</v>
      </c>
      <c r="AP66" s="245">
        <f>AO66+D66+C66</f>
        <v>3715.92</v>
      </c>
      <c r="AQ66" s="245">
        <f t="shared" si="16"/>
        <v>0</v>
      </c>
      <c r="AR66" s="226"/>
      <c r="AS66" s="226"/>
      <c r="AT66" s="231">
        <v>26</v>
      </c>
      <c r="AU66" s="232" t="s">
        <v>120</v>
      </c>
      <c r="AV66" s="4"/>
      <c r="AW66" s="4"/>
      <c r="AX66" s="4"/>
    </row>
    <row r="67" spans="1:51" ht="15" customHeight="1" hidden="1">
      <c r="A67" s="231">
        <v>27</v>
      </c>
      <c r="B67" s="232" t="s">
        <v>121</v>
      </c>
      <c r="C67" s="254"/>
      <c r="D67" s="243">
        <v>526.89</v>
      </c>
      <c r="E67" s="260">
        <v>554.95</v>
      </c>
      <c r="F67" s="260">
        <v>268.96</v>
      </c>
      <c r="G67" s="260">
        <v>902.68</v>
      </c>
      <c r="H67" s="260">
        <v>354.32</v>
      </c>
      <c r="I67" s="260">
        <v>246.79</v>
      </c>
      <c r="J67" s="244">
        <v>59.71</v>
      </c>
      <c r="K67" s="245">
        <f>L67+M67+N67+O67+P67+Q67+R67+S67+T67+U67+V67+W67+X67+Y67+Z67+AA67+AB67+AC67+AD67+AE67+AF67+AG67+AH67+AI67+AJ67+AK67</f>
        <v>1.64</v>
      </c>
      <c r="L67" s="245"/>
      <c r="M67" s="245">
        <v>1.64</v>
      </c>
      <c r="N67" s="245"/>
      <c r="O67" s="245"/>
      <c r="P67" s="245"/>
      <c r="Q67" s="245"/>
      <c r="R67" s="245"/>
      <c r="S67" s="244"/>
      <c r="T67" s="245"/>
      <c r="U67" s="245"/>
      <c r="V67" s="245"/>
      <c r="W67" s="245"/>
      <c r="X67" s="245"/>
      <c r="Y67" s="245"/>
      <c r="Z67" s="245"/>
      <c r="AA67" s="245"/>
      <c r="AB67" s="245"/>
      <c r="AC67" s="245"/>
      <c r="AD67" s="245"/>
      <c r="AE67" s="245"/>
      <c r="AF67" s="245"/>
      <c r="AG67" s="245"/>
      <c r="AH67" s="245"/>
      <c r="AI67" s="245"/>
      <c r="AJ67" s="245"/>
      <c r="AK67" s="245"/>
      <c r="AL67" s="245"/>
      <c r="AM67" s="245"/>
      <c r="AN67" s="245"/>
      <c r="AO67" s="245">
        <f>E67+F67+G67+H67+I67+J67+K67</f>
        <v>2389.05</v>
      </c>
      <c r="AP67" s="245">
        <f>AO67+D67+C67</f>
        <v>2915.94</v>
      </c>
      <c r="AQ67" s="245">
        <f t="shared" si="16"/>
        <v>0</v>
      </c>
      <c r="AR67" s="226"/>
      <c r="AS67" s="226"/>
      <c r="AT67" s="231">
        <v>27</v>
      </c>
      <c r="AU67" s="232" t="s">
        <v>121</v>
      </c>
      <c r="AV67" s="4"/>
      <c r="AW67" s="4"/>
      <c r="AX67" s="4"/>
      <c r="AY67" s="3">
        <f>AV65/AX65*100</f>
        <v>24.235887280821863</v>
      </c>
    </row>
    <row r="68" spans="1:50" ht="15" customHeight="1" hidden="1">
      <c r="A68" s="231"/>
      <c r="B68" s="232" t="s">
        <v>122</v>
      </c>
      <c r="C68" s="250">
        <f aca="true" t="shared" si="21" ref="C68:T68">SUM(C65:C67)</f>
        <v>7120.350000000001</v>
      </c>
      <c r="D68" s="250">
        <f t="shared" si="21"/>
        <v>1049.3</v>
      </c>
      <c r="E68" s="252">
        <f t="shared" si="21"/>
        <v>16444.680000000004</v>
      </c>
      <c r="F68" s="252">
        <f t="shared" si="21"/>
        <v>4328.36</v>
      </c>
      <c r="G68" s="252">
        <f t="shared" si="21"/>
        <v>11325.500000000002</v>
      </c>
      <c r="H68" s="252">
        <f t="shared" si="21"/>
        <v>4519.2300000000005</v>
      </c>
      <c r="I68" s="252">
        <f t="shared" si="21"/>
        <v>7618.05</v>
      </c>
      <c r="J68" s="250">
        <f t="shared" si="21"/>
        <v>2599.4900000000002</v>
      </c>
      <c r="K68" s="252">
        <f t="shared" si="21"/>
        <v>2256.12</v>
      </c>
      <c r="L68" s="252">
        <f t="shared" si="21"/>
        <v>768.43</v>
      </c>
      <c r="M68" s="252">
        <f t="shared" si="21"/>
        <v>290.09999999999997</v>
      </c>
      <c r="N68" s="252">
        <f t="shared" si="21"/>
        <v>177.53999999999996</v>
      </c>
      <c r="O68" s="252">
        <f t="shared" si="21"/>
        <v>81.49000000000001</v>
      </c>
      <c r="P68" s="252">
        <f t="shared" si="21"/>
        <v>0</v>
      </c>
      <c r="Q68" s="252">
        <f t="shared" si="21"/>
        <v>68.22</v>
      </c>
      <c r="R68" s="252">
        <f t="shared" si="21"/>
        <v>17.1</v>
      </c>
      <c r="S68" s="250">
        <f t="shared" si="21"/>
        <v>52.67</v>
      </c>
      <c r="T68" s="252">
        <f t="shared" si="21"/>
        <v>184.45</v>
      </c>
      <c r="U68" s="252">
        <f aca="true" t="shared" si="22" ref="U68:AP68">SUM(U65:U67)</f>
        <v>134.63</v>
      </c>
      <c r="V68" s="252">
        <f t="shared" si="22"/>
        <v>40.09</v>
      </c>
      <c r="W68" s="252">
        <f t="shared" si="22"/>
        <v>10.84</v>
      </c>
      <c r="X68" s="252">
        <f t="shared" si="22"/>
        <v>62.37</v>
      </c>
      <c r="Y68" s="252">
        <f t="shared" si="22"/>
        <v>166.79</v>
      </c>
      <c r="Z68" s="252">
        <f t="shared" si="22"/>
        <v>55.78</v>
      </c>
      <c r="AA68" s="252">
        <f t="shared" si="22"/>
        <v>73.24000000000001</v>
      </c>
      <c r="AB68" s="252">
        <f t="shared" si="22"/>
        <v>29.119999999999997</v>
      </c>
      <c r="AC68" s="252">
        <f t="shared" si="22"/>
        <v>17.83</v>
      </c>
      <c r="AD68" s="252">
        <f t="shared" si="22"/>
        <v>0.62</v>
      </c>
      <c r="AE68" s="252">
        <f t="shared" si="22"/>
        <v>3.76</v>
      </c>
      <c r="AF68" s="252">
        <f t="shared" si="22"/>
        <v>0.12</v>
      </c>
      <c r="AG68" s="252">
        <f t="shared" si="22"/>
        <v>0.02</v>
      </c>
      <c r="AH68" s="252">
        <f t="shared" si="22"/>
        <v>0.13</v>
      </c>
      <c r="AI68" s="252">
        <f t="shared" si="22"/>
        <v>18.11</v>
      </c>
      <c r="AJ68" s="252">
        <f t="shared" si="22"/>
        <v>2.52</v>
      </c>
      <c r="AK68" s="252">
        <f t="shared" si="22"/>
        <v>0.15</v>
      </c>
      <c r="AL68" s="252"/>
      <c r="AM68" s="252"/>
      <c r="AN68" s="252"/>
      <c r="AO68" s="252">
        <f t="shared" si="22"/>
        <v>49091.43</v>
      </c>
      <c r="AP68" s="252">
        <f t="shared" si="22"/>
        <v>57261.079999999994</v>
      </c>
      <c r="AQ68" s="252">
        <f t="shared" si="16"/>
        <v>12.434885964428197</v>
      </c>
      <c r="AR68" s="230"/>
      <c r="AS68" s="230"/>
      <c r="AT68" s="231"/>
      <c r="AU68" s="232" t="s">
        <v>122</v>
      </c>
      <c r="AV68" s="4"/>
      <c r="AW68" s="4"/>
      <c r="AX68" s="4"/>
    </row>
    <row r="69" spans="1:47" ht="15" customHeight="1" hidden="1">
      <c r="A69" s="229" t="s">
        <v>37</v>
      </c>
      <c r="B69" s="229"/>
      <c r="C69" s="250">
        <f aca="true" t="shared" si="23" ref="C69:AP69">C68/$AP$33*100</f>
        <v>11.451872509218537</v>
      </c>
      <c r="D69" s="250">
        <f t="shared" si="23"/>
        <v>1.6876206680743233</v>
      </c>
      <c r="E69" s="252">
        <f t="shared" si="23"/>
        <v>26.448472169892757</v>
      </c>
      <c r="F69" s="252">
        <f t="shared" si="23"/>
        <v>6.9614312349815854</v>
      </c>
      <c r="G69" s="252">
        <f t="shared" si="23"/>
        <v>18.21514140500882</v>
      </c>
      <c r="H69" s="252">
        <f t="shared" si="23"/>
        <v>7.268413181913204</v>
      </c>
      <c r="I69" s="252">
        <f t="shared" si="23"/>
        <v>12.252338349779473</v>
      </c>
      <c r="J69" s="250">
        <f t="shared" si="23"/>
        <v>4.18083774940677</v>
      </c>
      <c r="K69" s="252">
        <f t="shared" si="23"/>
        <v>3.6285854776096844</v>
      </c>
      <c r="L69" s="252">
        <f t="shared" si="23"/>
        <v>1.2358890212221025</v>
      </c>
      <c r="M69" s="252">
        <f t="shared" si="23"/>
        <v>0.46657653274407807</v>
      </c>
      <c r="N69" s="252">
        <f t="shared" si="23"/>
        <v>0.28554290804337684</v>
      </c>
      <c r="O69" s="252">
        <f t="shared" si="23"/>
        <v>0.13106281162811076</v>
      </c>
      <c r="P69" s="252">
        <f t="shared" si="23"/>
        <v>0</v>
      </c>
      <c r="Q69" s="252">
        <f t="shared" si="23"/>
        <v>0.10972027253981734</v>
      </c>
      <c r="R69" s="252">
        <f t="shared" si="23"/>
        <v>0.02750244298491464</v>
      </c>
      <c r="S69" s="250">
        <f t="shared" si="23"/>
        <v>0.08471074105353532</v>
      </c>
      <c r="T69" s="252">
        <f t="shared" si="23"/>
        <v>0.296656468337281</v>
      </c>
      <c r="U69" s="252">
        <f t="shared" si="23"/>
        <v>0.21652946778123144</v>
      </c>
      <c r="V69" s="252">
        <f t="shared" si="23"/>
        <v>0.06447794966463322</v>
      </c>
      <c r="W69" s="252">
        <f t="shared" si="23"/>
        <v>0.017434297190437115</v>
      </c>
      <c r="X69" s="252">
        <f t="shared" si="23"/>
        <v>0.10031154204497812</v>
      </c>
      <c r="Y69" s="252">
        <f t="shared" si="23"/>
        <v>0.26825336055286036</v>
      </c>
      <c r="Z69" s="252">
        <f t="shared" si="23"/>
        <v>0.08971264735079172</v>
      </c>
      <c r="AA69" s="252">
        <f t="shared" si="23"/>
        <v>0.1177940891353888</v>
      </c>
      <c r="AB69" s="252">
        <f t="shared" si="23"/>
        <v>0.04683456957431077</v>
      </c>
      <c r="AC69" s="252">
        <f t="shared" si="23"/>
        <v>0.02867652388427064</v>
      </c>
      <c r="AD69" s="252">
        <f t="shared" si="23"/>
        <v>0.0009971645994530454</v>
      </c>
      <c r="AE69" s="252">
        <f t="shared" si="23"/>
        <v>0.0060473207966829845</v>
      </c>
      <c r="AF69" s="252">
        <f t="shared" si="23"/>
        <v>0.00019299959989413782</v>
      </c>
      <c r="AG69" s="252">
        <f t="shared" si="23"/>
        <v>3.21665999823563E-05</v>
      </c>
      <c r="AH69" s="252">
        <f t="shared" si="23"/>
        <v>0.00020908289988531598</v>
      </c>
      <c r="AI69" s="252">
        <f t="shared" si="23"/>
        <v>0.02912685628402363</v>
      </c>
      <c r="AJ69" s="252">
        <f t="shared" si="23"/>
        <v>0.004052991597776894</v>
      </c>
      <c r="AK69" s="252">
        <f t="shared" si="23"/>
        <v>0.00024124949986767226</v>
      </c>
      <c r="AL69" s="252"/>
      <c r="AM69" s="252"/>
      <c r="AN69" s="252"/>
      <c r="AO69" s="252">
        <f t="shared" si="23"/>
        <v>78.95521956859228</v>
      </c>
      <c r="AP69" s="252">
        <f t="shared" si="23"/>
        <v>92.09471274588513</v>
      </c>
      <c r="AQ69" s="261"/>
      <c r="AT69" s="229" t="s">
        <v>37</v>
      </c>
      <c r="AU69" s="229"/>
    </row>
    <row r="70" ht="14.25" hidden="1"/>
    <row r="71" ht="14.25" hidden="1"/>
    <row r="73" spans="41:42" ht="14.25">
      <c r="AO73" s="235" t="s">
        <v>148</v>
      </c>
      <c r="AP73" s="246"/>
    </row>
  </sheetData>
  <sheetProtection/>
  <mergeCells count="6">
    <mergeCell ref="C2:R2"/>
    <mergeCell ref="V2:AQ2"/>
    <mergeCell ref="AV3:AX3"/>
    <mergeCell ref="C36:R36"/>
    <mergeCell ref="V36:AQ36"/>
    <mergeCell ref="AV38:AX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  <colBreaks count="1" manualBreakCount="1">
    <brk id="21" min="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DE BB</cp:lastModifiedBy>
  <cp:lastPrinted>2014-12-03T06:52:48Z</cp:lastPrinted>
  <dcterms:created xsi:type="dcterms:W3CDTF">2007-06-20T11:07:42Z</dcterms:created>
  <dcterms:modified xsi:type="dcterms:W3CDTF">2014-12-03T09:20:17Z</dcterms:modified>
  <cp:category/>
  <cp:version/>
  <cp:contentType/>
  <cp:contentStatus/>
</cp:coreProperties>
</file>